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REP_EST!$C$8:$P$47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P7" i="3" l="1"/>
  <c r="F7" i="3"/>
  <c r="G7" i="3"/>
  <c r="H7" i="3"/>
  <c r="I7" i="3"/>
  <c r="J7" i="3"/>
  <c r="K7" i="3"/>
  <c r="L7" i="3"/>
  <c r="E7" i="3"/>
  <c r="M47" i="3"/>
  <c r="M35" i="3"/>
  <c r="M23" i="3"/>
  <c r="M41" i="3"/>
  <c r="N20" i="3"/>
  <c r="O13" i="3"/>
  <c r="O44" i="3"/>
  <c r="O35" i="3"/>
  <c r="M18" i="3"/>
  <c r="N23" i="3"/>
  <c r="N43" i="3"/>
  <c r="O40" i="3"/>
  <c r="N34" i="3"/>
  <c r="O16" i="3"/>
  <c r="O31" i="3"/>
  <c r="N46" i="3"/>
  <c r="O19" i="3"/>
  <c r="N30" i="3"/>
  <c r="M25" i="3"/>
  <c r="M45" i="3"/>
  <c r="M43" i="3"/>
  <c r="O23" i="3"/>
  <c r="M21" i="3"/>
  <c r="N44" i="3"/>
  <c r="N18" i="3"/>
  <c r="O15" i="3"/>
  <c r="O41" i="3"/>
  <c r="M29" i="3"/>
  <c r="N11" i="3"/>
  <c r="N26" i="3"/>
  <c r="N12" i="3"/>
  <c r="M44" i="3"/>
  <c r="M34" i="3"/>
  <c r="O28" i="3"/>
  <c r="O12" i="3"/>
  <c r="N27" i="3"/>
  <c r="N39" i="3"/>
  <c r="M17" i="3"/>
  <c r="O9" i="3"/>
  <c r="M9" i="3"/>
  <c r="N42" i="3"/>
  <c r="N47" i="3"/>
  <c r="O37" i="3"/>
  <c r="O17" i="3"/>
  <c r="M16" i="3"/>
  <c r="M37" i="3"/>
  <c r="N10" i="3"/>
  <c r="M20" i="3"/>
  <c r="O43" i="3"/>
  <c r="M40" i="3"/>
  <c r="O33" i="3"/>
  <c r="N28" i="3"/>
  <c r="N21" i="3"/>
  <c r="N37" i="3"/>
  <c r="O45" i="3"/>
  <c r="O24" i="3"/>
  <c r="N19" i="3"/>
  <c r="M11" i="3"/>
  <c r="O29" i="3"/>
  <c r="O10" i="3"/>
  <c r="N31" i="3"/>
  <c r="N14" i="3"/>
  <c r="N35" i="3"/>
  <c r="M26" i="3"/>
  <c r="N9" i="3"/>
  <c r="N38" i="3"/>
  <c r="N29" i="3"/>
  <c r="M39" i="3"/>
  <c r="A34" i="3"/>
  <c r="D45" i="3"/>
  <c r="M24" i="3"/>
  <c r="O47" i="3"/>
  <c r="B36" i="3"/>
  <c r="B31" i="3"/>
  <c r="B29" i="3"/>
  <c r="B25" i="3"/>
  <c r="H8" i="3"/>
  <c r="A13" i="3"/>
  <c r="O39" i="3"/>
  <c r="N32" i="3"/>
  <c r="M13" i="3"/>
  <c r="C24" i="3"/>
  <c r="O27" i="3"/>
  <c r="O20" i="3"/>
  <c r="M15" i="3"/>
  <c r="A25" i="3"/>
  <c r="O26" i="3"/>
  <c r="B47" i="3"/>
  <c r="A20" i="3"/>
  <c r="D43" i="3"/>
  <c r="E8" i="3"/>
  <c r="B34" i="3"/>
  <c r="M31" i="3"/>
  <c r="O25" i="3"/>
  <c r="N33" i="3"/>
  <c r="D26" i="3"/>
  <c r="O34" i="3"/>
  <c r="A9" i="3"/>
  <c r="C34" i="3"/>
  <c r="D15" i="3"/>
  <c r="M14" i="3"/>
  <c r="C42" i="3"/>
  <c r="A11" i="3"/>
  <c r="A30" i="3"/>
  <c r="D29" i="3"/>
  <c r="B28" i="3"/>
  <c r="B23" i="3"/>
  <c r="C46" i="3"/>
  <c r="A31" i="3"/>
  <c r="C31" i="3"/>
  <c r="A46" i="3"/>
  <c r="A17" i="3"/>
  <c r="O30" i="3"/>
  <c r="A12" i="3"/>
  <c r="B30" i="3"/>
  <c r="A35" i="3"/>
  <c r="A45" i="3"/>
  <c r="A40" i="3"/>
  <c r="N40" i="3"/>
  <c r="N16" i="3"/>
  <c r="M12" i="3"/>
  <c r="B16" i="3"/>
  <c r="C16" i="3"/>
  <c r="B11" i="3"/>
  <c r="D36" i="3"/>
  <c r="O21" i="3"/>
  <c r="N13" i="3"/>
  <c r="M42" i="3"/>
  <c r="N24" i="3"/>
  <c r="M36" i="3"/>
  <c r="D44" i="3"/>
  <c r="C38" i="3"/>
  <c r="A21" i="3"/>
  <c r="D47" i="3"/>
  <c r="B43" i="3"/>
  <c r="A16" i="3"/>
  <c r="D27" i="3"/>
  <c r="B18" i="3"/>
  <c r="C28" i="3"/>
  <c r="C23" i="3"/>
  <c r="A24" i="3"/>
  <c r="B33" i="3"/>
  <c r="M8" i="3"/>
  <c r="O38" i="3"/>
  <c r="N22" i="3"/>
  <c r="M27" i="3"/>
  <c r="N17" i="3"/>
  <c r="D35" i="3"/>
  <c r="D10" i="3"/>
  <c r="A43" i="3"/>
  <c r="B14" i="3"/>
  <c r="C30" i="3"/>
  <c r="D33" i="3"/>
  <c r="B15" i="3"/>
  <c r="M10" i="3"/>
  <c r="A19" i="3"/>
  <c r="O32" i="3"/>
  <c r="F8" i="3"/>
  <c r="D18" i="3"/>
  <c r="B8" i="3"/>
  <c r="A42" i="3"/>
  <c r="M46" i="3"/>
  <c r="N45" i="3"/>
  <c r="O42" i="3"/>
  <c r="C41" i="3"/>
  <c r="D25" i="3"/>
  <c r="D42" i="3"/>
  <c r="C40" i="3"/>
  <c r="D32" i="3"/>
  <c r="C47" i="3"/>
  <c r="D41" i="3"/>
  <c r="C37" i="3"/>
  <c r="B44" i="3"/>
  <c r="D31" i="3"/>
  <c r="B39" i="3"/>
  <c r="D11" i="3"/>
  <c r="B35" i="3"/>
  <c r="C45" i="3"/>
  <c r="G8" i="3"/>
  <c r="B42" i="3"/>
  <c r="L8" i="3"/>
  <c r="A29" i="3"/>
  <c r="M38" i="3"/>
  <c r="M30" i="3"/>
  <c r="B40" i="3"/>
  <c r="N41" i="3"/>
  <c r="B45" i="3"/>
  <c r="N15" i="3"/>
  <c r="D19" i="3"/>
  <c r="C17" i="3"/>
  <c r="B24" i="3"/>
  <c r="C8" i="3"/>
  <c r="B13" i="3"/>
  <c r="B9" i="3"/>
  <c r="A18" i="3"/>
  <c r="B38" i="3"/>
  <c r="A44" i="3"/>
  <c r="D8" i="3"/>
  <c r="D38" i="3"/>
  <c r="C22" i="3"/>
  <c r="C10" i="3"/>
  <c r="J8" i="3"/>
  <c r="B20" i="3"/>
  <c r="B37" i="3"/>
  <c r="M19" i="3"/>
  <c r="O8" i="3"/>
  <c r="O11" i="3"/>
  <c r="B17" i="3"/>
  <c r="A39" i="3"/>
  <c r="B41" i="3"/>
  <c r="B12" i="3"/>
  <c r="C32" i="3"/>
  <c r="K8" i="3"/>
  <c r="M32" i="3"/>
  <c r="O36" i="3"/>
  <c r="A26" i="3"/>
  <c r="D13" i="3"/>
  <c r="A8" i="3"/>
  <c r="B46" i="3"/>
  <c r="D23" i="3"/>
  <c r="A23" i="3"/>
  <c r="D22" i="3"/>
  <c r="A47" i="3"/>
  <c r="N25" i="3"/>
  <c r="D12" i="3"/>
  <c r="C14" i="3"/>
  <c r="C9" i="3"/>
  <c r="D28" i="3"/>
  <c r="C11" i="3"/>
  <c r="C19" i="3"/>
  <c r="D46" i="3"/>
  <c r="C27" i="3"/>
  <c r="D39" i="3"/>
  <c r="C21" i="3"/>
  <c r="C43" i="3"/>
  <c r="C15" i="3"/>
  <c r="N8" i="3"/>
  <c r="O14" i="3"/>
  <c r="D30" i="3"/>
  <c r="C20" i="3"/>
  <c r="M22" i="3"/>
  <c r="D16" i="3"/>
  <c r="A28" i="3"/>
  <c r="A10" i="3"/>
  <c r="C25" i="3"/>
  <c r="A36" i="3"/>
  <c r="A38" i="3"/>
  <c r="B19" i="3"/>
  <c r="D21" i="3"/>
  <c r="C39" i="3"/>
  <c r="D9" i="3"/>
  <c r="A37" i="3"/>
  <c r="O46" i="3"/>
  <c r="A32" i="3"/>
  <c r="C29" i="3"/>
  <c r="C13" i="3"/>
  <c r="I8" i="3"/>
  <c r="B10" i="3"/>
  <c r="D24" i="3"/>
  <c r="M33" i="3"/>
  <c r="C33" i="3"/>
  <c r="D20" i="3"/>
  <c r="M28" i="3"/>
  <c r="D40" i="3"/>
  <c r="B21" i="3"/>
  <c r="N36" i="3"/>
  <c r="A33" i="3"/>
  <c r="O22" i="3"/>
  <c r="A41" i="3"/>
  <c r="A14" i="3"/>
  <c r="B22" i="3"/>
  <c r="B27" i="3"/>
  <c r="C44" i="3"/>
  <c r="O18" i="3"/>
  <c r="D37" i="3"/>
  <c r="C35" i="3"/>
  <c r="B26" i="3"/>
  <c r="D17" i="3"/>
  <c r="C12" i="3"/>
  <c r="C36" i="3"/>
  <c r="A27" i="3"/>
  <c r="A22" i="3"/>
  <c r="D34" i="3"/>
  <c r="B32" i="3"/>
  <c r="A15" i="3"/>
  <c r="D14" i="3"/>
  <c r="C18" i="3"/>
  <c r="C26" i="3"/>
  <c r="C6" i="3" l="1"/>
</calcChain>
</file>

<file path=xl/sharedStrings.xml><?xml version="1.0" encoding="utf-8"?>
<sst xmlns="http://schemas.openxmlformats.org/spreadsheetml/2006/main" count="22" uniqueCount="22">
  <si>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</si>
  <si>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</si>
  <si>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</si>
  <si>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</si>
  <si>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</si>
  <si>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</si>
  <si>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</si>
  <si>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</si>
  <si>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</si>
  <si>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</si>
  <si>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</si>
  <si>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</si>
  <si>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</si>
  <si>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</si>
  <si>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</si>
  <si>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</si>
  <si>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</si>
  <si>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</si>
  <si>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 xml:space="preserve">6º REPASSE TESOURO ESTADUAL - PNAE TOCANTINS  -  ESCOLA EM PERÍODO PARCIAL </t>
  </si>
  <si>
    <t>Unidade Técnica Executiva de Alimentação Escolar</t>
  </si>
  <si>
    <t>INDÍGENA</t>
  </si>
  <si>
    <t>QUILOMBOLA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</si>
</sst>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10"/>
      <color rgb="FF000000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47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7" borderId="15" xfId="1" applyFont="1" applyFill="1" applyBorder="1" applyAlignment="1">
      <alignment horizontal="center" vertical="center" wrapText="1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/>
    <xf numFmtId="49" fontId="4" fillId="0" borderId="6" xfId="0" applyNumberFormat="1" applyFont="1" applyFill="1" applyBorder="1"/>
    <xf numFmtId="0" fontId="4" fillId="6" borderId="16" xfId="0" applyFont="1" applyFill="1" applyBorder="1"/>
    <xf numFmtId="49" fontId="4" fillId="6" borderId="16" xfId="0" applyNumberFormat="1" applyFont="1" applyFill="1" applyBorder="1" applyAlignment="1">
      <alignment horizontal="center"/>
    </xf>
    <xf numFmtId="4" fontId="17" fillId="6" borderId="16" xfId="0" applyNumberFormat="1" applyFont="1" applyFill="1" applyBorder="1"/>
    <xf numFmtId="49" fontId="4" fillId="6" borderId="16" xfId="0" applyNumberFormat="1" applyFont="1" applyFill="1" applyBorder="1"/>
    <xf numFmtId="4" fontId="4" fillId="6" borderId="16" xfId="0" applyNumberFormat="1" applyFont="1" applyFill="1" applyBorder="1" applyAlignment="1">
      <alignment vertical="center"/>
    </xf>
    <xf numFmtId="0" fontId="14" fillId="6" borderId="16" xfId="0" applyFont="1" applyFill="1" applyBorder="1"/>
    <xf numFmtId="49" fontId="14" fillId="6" borderId="16" xfId="0" applyNumberFormat="1" applyFont="1" applyFill="1" applyBorder="1" applyAlignment="1">
      <alignment horizontal="center"/>
    </xf>
    <xf numFmtId="4" fontId="16" fillId="6" borderId="16" xfId="0" applyNumberFormat="1" applyFont="1" applyFill="1" applyBorder="1"/>
    <xf numFmtId="49" fontId="14" fillId="6" borderId="16" xfId="0" applyNumberFormat="1" applyFont="1" applyFill="1" applyBorder="1"/>
    <xf numFmtId="4" fontId="4" fillId="0" borderId="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7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16</v>
      </c>
      <c r="B1" s="9"/>
      <c r="C1" s="9" t="s">
        <v>0</v>
      </c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customFormat="1" ht="24.95" customHeight="1">
      <c r="A2" s="8" t="s">
        <v>17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19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4" t="s">
        <v>18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COUNTA(C9:C47)</f>
        <v>UNIDADES EXECUTORAS = 39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20</v>
      </c>
      <c r="J6" s="24" t="s">
        <v>21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>SUM(E9:E47)</f>
        <v>0</v>
      </c>
      <c r="F7" s="13">
        <f>SUM(F9:F47)</f>
        <v>0</v>
      </c>
      <c r="G7" s="13">
        <f>SUM(G9:G47)</f>
        <v>3108</v>
      </c>
      <c r="H7" s="13">
        <f>SUM(H9:H47)</f>
        <v>60143.999999999993</v>
      </c>
      <c r="I7" s="13">
        <f>SUM(I9:I47)</f>
        <v>0</v>
      </c>
      <c r="J7" s="13">
        <f>SUM(J9:J47)</f>
        <v>0</v>
      </c>
      <c r="K7" s="13">
        <f>SUM(K9:K47)</f>
        <v>42193.200000000012</v>
      </c>
      <c r="L7" s="13">
        <f>SUM(L9:L47)</f>
        <v>6846</v>
      </c>
      <c r="M7" s="41" t="s">
        <v>2</v>
      </c>
      <c r="N7" s="42"/>
      <c r="O7" s="43"/>
      <c r="P7" s="14">
        <f>SUM(P9:P47)</f>
        <v>112291.2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IFERROR(__xludf.DUMMYFUNCTION("""COMPUTED_VALUE"""),"Araguatins")</f>
        <v>Araguatins</v>
      </c>
      <c r="B9" s="22" t="str">
        <f ca="1">IFERROR(__xludf.DUMMYFUNCTION("""COMPUTED_VALUE"""),"Araguatins")</f>
        <v>Araguatins</v>
      </c>
      <c r="C9" s="22" t="str">
        <f ca="1">IFERROR(__xludf.DUMMYFUNCTION("""COMPUTED_VALUE"""),"ASSOC. APOIO AO CEM PROFESSORA ANTONINA MILHOMEM")</f>
        <v>ASSOC. APOIO AO CEM PROFESSORA ANTONINA MILHOMEM</v>
      </c>
      <c r="D9" s="23" t="str">
        <f ca="1">IFERROR(__xludf.DUMMYFUNCTION("""COMPUTED_VALUE"""),"04675931000140")</f>
        <v>04675931000140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6392.4</v>
      </c>
      <c r="L9" s="27">
        <v>0</v>
      </c>
      <c r="M9" s="28" t="str">
        <f ca="1">IFERROR(__xludf.DUMMYFUNCTION("""COMPUTED_VALUE"""),"001")</f>
        <v>001</v>
      </c>
      <c r="N9" s="28" t="str">
        <f ca="1">IFERROR(__xludf.DUMMYFUNCTION("""COMPUTED_VALUE"""),"1305")</f>
        <v>1305</v>
      </c>
      <c r="O9" s="28" t="str">
        <f ca="1">IFERROR(__xludf.DUMMYFUNCTION("""COMPUTED_VALUE"""),"209082")</f>
        <v>209082</v>
      </c>
      <c r="P9" s="38">
        <v>6392.4</v>
      </c>
    </row>
    <row r="10" spans="1:16" s="8" customFormat="1" ht="21.95" customHeight="1">
      <c r="A10" s="29" t="str">
        <f ca="1">IFERROR(__xludf.DUMMYFUNCTION("""COMPUTED_VALUE"""),"Araguatins")</f>
        <v>Araguatins</v>
      </c>
      <c r="B10" s="29" t="str">
        <f ca="1">IFERROR(__xludf.DUMMYFUNCTION("""COMPUTED_VALUE"""),"Araguatins")</f>
        <v>Araguatins</v>
      </c>
      <c r="C10" s="29" t="str">
        <f ca="1">IFERROR(__xludf.DUMMYFUNCTION("""COMPUTED_VALUE"""),"A.A. E. EST. ATANAZIO DE MOURA SEIXAS")</f>
        <v>A.A. E. EST. ATANAZIO DE MOURA SEIXAS</v>
      </c>
      <c r="D10" s="30" t="str">
        <f ca="1">IFERROR(__xludf.DUMMYFUNCTION("""COMPUTED_VALUE"""),"01068353000196")</f>
        <v>01068353000196</v>
      </c>
      <c r="E10" s="31">
        <v>0</v>
      </c>
      <c r="F10" s="31">
        <v>0</v>
      </c>
      <c r="G10" s="31">
        <v>0</v>
      </c>
      <c r="H10" s="31">
        <v>840</v>
      </c>
      <c r="I10" s="31">
        <v>0</v>
      </c>
      <c r="J10" s="31">
        <v>0</v>
      </c>
      <c r="K10" s="31">
        <v>336</v>
      </c>
      <c r="L10" s="31">
        <v>235.2</v>
      </c>
      <c r="M10" s="32" t="str">
        <f ca="1">IFERROR(__xludf.DUMMYFUNCTION("""COMPUTED_VALUE"""),"001")</f>
        <v>001</v>
      </c>
      <c r="N10" s="32" t="str">
        <f ca="1">IFERROR(__xludf.DUMMYFUNCTION("""COMPUTED_VALUE"""),"1305")</f>
        <v>1305</v>
      </c>
      <c r="O10" s="32" t="str">
        <f ca="1">IFERROR(__xludf.DUMMYFUNCTION("""COMPUTED_VALUE"""),"109215")</f>
        <v>109215</v>
      </c>
      <c r="P10" s="33">
        <v>1411.2</v>
      </c>
    </row>
    <row r="11" spans="1:16" s="8" customFormat="1" ht="21.95" customHeight="1">
      <c r="A11" s="22" t="str">
        <f ca="1">IFERROR(__xludf.DUMMYFUNCTION("""COMPUTED_VALUE"""),"Araguatins")</f>
        <v>Araguatins</v>
      </c>
      <c r="B11" s="22" t="str">
        <f ca="1">IFERROR(__xludf.DUMMYFUNCTION("""COMPUTED_VALUE"""),"Araguatins")</f>
        <v>Araguatins</v>
      </c>
      <c r="C11" s="22" t="str">
        <f ca="1">IFERROR(__xludf.DUMMYFUNCTION("""COMPUTED_VALUE"""),"A.A. COL. EST. LEONIDAS G. DUARTE")</f>
        <v>A.A. COL. EST. LEONIDAS G. DUARTE</v>
      </c>
      <c r="D11" s="23" t="str">
        <f ca="1">IFERROR(__xludf.DUMMYFUNCTION("""COMPUTED_VALUE"""),"01190189000195")</f>
        <v>01190189000195</v>
      </c>
      <c r="E11" s="27">
        <v>0</v>
      </c>
      <c r="F11" s="27">
        <v>0</v>
      </c>
      <c r="G11" s="27">
        <v>0</v>
      </c>
      <c r="H11" s="27">
        <v>4208.3999999999996</v>
      </c>
      <c r="I11" s="27">
        <v>0</v>
      </c>
      <c r="J11" s="27">
        <v>0</v>
      </c>
      <c r="K11" s="27">
        <v>0</v>
      </c>
      <c r="L11" s="27">
        <v>0</v>
      </c>
      <c r="M11" s="28" t="str">
        <f ca="1">IFERROR(__xludf.DUMMYFUNCTION("""COMPUTED_VALUE"""),"001")</f>
        <v>001</v>
      </c>
      <c r="N11" s="28" t="str">
        <f ca="1">IFERROR(__xludf.DUMMYFUNCTION("""COMPUTED_VALUE"""),"1305")</f>
        <v>1305</v>
      </c>
      <c r="O11" s="28" t="str">
        <f ca="1">IFERROR(__xludf.DUMMYFUNCTION("""COMPUTED_VALUE"""),"0019143")</f>
        <v>0019143</v>
      </c>
      <c r="P11" s="38">
        <v>4208.3999999999996</v>
      </c>
    </row>
    <row r="12" spans="1:16" s="8" customFormat="1" ht="21.95" customHeight="1">
      <c r="A12" s="29" t="str">
        <f ca="1">IFERROR(__xludf.DUMMYFUNCTION("""COMPUTED_VALUE"""),"Araguatins")</f>
        <v>Araguatins</v>
      </c>
      <c r="B12" s="29" t="str">
        <f ca="1">IFERROR(__xludf.DUMMYFUNCTION("""COMPUTED_VALUE"""),"Araguatins")</f>
        <v>Araguatins</v>
      </c>
      <c r="C12" s="29" t="str">
        <f ca="1">IFERROR(__xludf.DUMMYFUNCTION("""COMPUTED_VALUE"""),"A.A. A ESC. EST. OSVALDO FRANCO")</f>
        <v>A.A. A ESC. EST. OSVALDO FRANCO</v>
      </c>
      <c r="D12" s="30" t="str">
        <f ca="1">IFERROR(__xludf.DUMMYFUNCTION("""COMPUTED_VALUE"""),"01392733000181")</f>
        <v>01392733000181</v>
      </c>
      <c r="E12" s="31">
        <v>0</v>
      </c>
      <c r="F12" s="31">
        <v>0</v>
      </c>
      <c r="G12" s="31">
        <v>84</v>
      </c>
      <c r="H12" s="31">
        <v>3141.6</v>
      </c>
      <c r="I12" s="31">
        <v>0</v>
      </c>
      <c r="J12" s="31">
        <v>0</v>
      </c>
      <c r="K12" s="31">
        <v>0</v>
      </c>
      <c r="L12" s="31">
        <v>3435.6</v>
      </c>
      <c r="M12" s="32" t="str">
        <f ca="1">IFERROR(__xludf.DUMMYFUNCTION("""COMPUTED_VALUE"""),"001")</f>
        <v>001</v>
      </c>
      <c r="N12" s="32" t="str">
        <f ca="1">IFERROR(__xludf.DUMMYFUNCTION("""COMPUTED_VALUE"""),"1305")</f>
        <v>1305</v>
      </c>
      <c r="O12" s="32" t="str">
        <f ca="1">IFERROR(__xludf.DUMMYFUNCTION("""COMPUTED_VALUE"""),"109738")</f>
        <v>109738</v>
      </c>
      <c r="P12" s="33">
        <v>6661.2</v>
      </c>
    </row>
    <row r="13" spans="1:16" s="8" customFormat="1" ht="21.95" customHeight="1">
      <c r="A13" s="22" t="str">
        <f ca="1">IFERROR(__xludf.DUMMYFUNCTION("""COMPUTED_VALUE"""),"Araguatins")</f>
        <v>Araguatins</v>
      </c>
      <c r="B13" s="22" t="str">
        <f ca="1">IFERROR(__xludf.DUMMYFUNCTION("""COMPUTED_VALUE"""),"Araguatins")</f>
        <v>Araguatins</v>
      </c>
      <c r="C13" s="22" t="str">
        <f ca="1">IFERROR(__xludf.DUMMYFUNCTION("""COMPUTED_VALUE"""),"A.A. ESC. ESTADUAL ALDINAR GONÇALVES DE CARVALHO")</f>
        <v>A.A. ESC. ESTADUAL ALDINAR GONÇALVES DE CARVALHO</v>
      </c>
      <c r="D13" s="23" t="str">
        <f ca="1">IFERROR(__xludf.DUMMYFUNCTION("""COMPUTED_VALUE"""),"09465471000140")</f>
        <v>09465471000140</v>
      </c>
      <c r="E13" s="27">
        <v>0</v>
      </c>
      <c r="F13" s="27">
        <v>0</v>
      </c>
      <c r="G13" s="27">
        <v>243.6</v>
      </c>
      <c r="H13" s="27">
        <v>5241.6000000000004</v>
      </c>
      <c r="I13" s="27">
        <v>0</v>
      </c>
      <c r="J13" s="27">
        <v>0</v>
      </c>
      <c r="K13" s="27">
        <v>0</v>
      </c>
      <c r="L13" s="27">
        <v>0</v>
      </c>
      <c r="M13" s="28" t="str">
        <f ca="1">IFERROR(__xludf.DUMMYFUNCTION("""COMPUTED_VALUE"""),"001")</f>
        <v>001</v>
      </c>
      <c r="N13" s="28" t="str">
        <f ca="1">IFERROR(__xludf.DUMMYFUNCTION("""COMPUTED_VALUE"""),"1305")</f>
        <v>1305</v>
      </c>
      <c r="O13" s="28" t="str">
        <f ca="1">IFERROR(__xludf.DUMMYFUNCTION("""COMPUTED_VALUE"""),"196657")</f>
        <v>196657</v>
      </c>
      <c r="P13" s="38">
        <v>5485.2000000000007</v>
      </c>
    </row>
    <row r="14" spans="1:16" s="8" customFormat="1" ht="21.95" customHeight="1">
      <c r="A14" s="34" t="str">
        <f ca="1">IFERROR(__xludf.DUMMYFUNCTION("""COMPUTED_VALUE"""),"Araguatins")</f>
        <v>Araguatins</v>
      </c>
      <c r="B14" s="34" t="str">
        <f ca="1">IFERROR(__xludf.DUMMYFUNCTION("""COMPUTED_VALUE"""),"Araguatins")</f>
        <v>Araguatins</v>
      </c>
      <c r="C14" s="34" t="str">
        <f ca="1">IFERROR(__xludf.DUMMYFUNCTION("""COMPUTED_VALUE"""),"ASSOC. DE APOIO ESC. EST. FREI SAVINO")</f>
        <v>ASSOC. DE APOIO ESC. EST. FREI SAVINO</v>
      </c>
      <c r="D14" s="35" t="str">
        <f ca="1">IFERROR(__xludf.DUMMYFUNCTION("""COMPUTED_VALUE"""),"01181389000181")</f>
        <v>01181389000181</v>
      </c>
      <c r="E14" s="36">
        <v>0</v>
      </c>
      <c r="F14" s="36">
        <v>0</v>
      </c>
      <c r="G14" s="36">
        <v>109.2</v>
      </c>
      <c r="H14" s="36">
        <v>646.79999999999995</v>
      </c>
      <c r="I14" s="36">
        <v>0</v>
      </c>
      <c r="J14" s="36">
        <v>0</v>
      </c>
      <c r="K14" s="36">
        <v>344.4</v>
      </c>
      <c r="L14" s="36">
        <v>0</v>
      </c>
      <c r="M14" s="37" t="str">
        <f ca="1">IFERROR(__xludf.DUMMYFUNCTION("""COMPUTED_VALUE"""),"001")</f>
        <v>001</v>
      </c>
      <c r="N14" s="37" t="str">
        <f ca="1">IFERROR(__xludf.DUMMYFUNCTION("""COMPUTED_VALUE"""),"1305")</f>
        <v>1305</v>
      </c>
      <c r="O14" s="37" t="str">
        <f ca="1">IFERROR(__xludf.DUMMYFUNCTION("""COMPUTED_VALUE"""),"0019437")</f>
        <v>0019437</v>
      </c>
      <c r="P14" s="33">
        <v>1100.4000000000001</v>
      </c>
    </row>
    <row r="15" spans="1:16" s="8" customFormat="1" ht="21.95" customHeight="1">
      <c r="A15" s="22" t="str">
        <f ca="1">IFERROR(__xludf.DUMMYFUNCTION("""COMPUTED_VALUE"""),"Araguatins")</f>
        <v>Araguatins</v>
      </c>
      <c r="B15" s="22" t="str">
        <f ca="1">IFERROR(__xludf.DUMMYFUNCTION("""COMPUTED_VALUE"""),"Araguatins")</f>
        <v>Araguatins</v>
      </c>
      <c r="C15" s="22" t="str">
        <f ca="1">IFERROR(__xludf.DUMMYFUNCTION("""COMPUTED_VALUE"""),"ASSOC. APOIO ESC. EST. DENISE GOMIDE AMUI")</f>
        <v>ASSOC. APOIO ESC. EST. DENISE GOMIDE AMUI</v>
      </c>
      <c r="D15" s="23" t="str">
        <f ca="1">IFERROR(__xludf.DUMMYFUNCTION("""COMPUTED_VALUE"""),"01136000000186")</f>
        <v>01136000000186</v>
      </c>
      <c r="E15" s="27">
        <v>0</v>
      </c>
      <c r="F15" s="27">
        <v>0</v>
      </c>
      <c r="G15" s="27">
        <v>176.4</v>
      </c>
      <c r="H15" s="27">
        <v>0</v>
      </c>
      <c r="I15" s="27">
        <v>0</v>
      </c>
      <c r="J15" s="27">
        <v>0</v>
      </c>
      <c r="K15" s="27">
        <v>3872.4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IFERROR(__xludf.DUMMYFUNCTION("""COMPUTED_VALUE"""),"1305")</f>
        <v>1305</v>
      </c>
      <c r="O15" s="28" t="str">
        <f ca="1">IFERROR(__xludf.DUMMYFUNCTION("""COMPUTED_VALUE"""),"0109223")</f>
        <v>0109223</v>
      </c>
      <c r="P15" s="38">
        <v>4048.8</v>
      </c>
    </row>
    <row r="16" spans="1:16" s="8" customFormat="1" ht="21.95" customHeight="1">
      <c r="A16" s="29" t="str">
        <f ca="1">IFERROR(__xludf.DUMMYFUNCTION("""COMPUTED_VALUE"""),"Araguatins")</f>
        <v>Araguatins</v>
      </c>
      <c r="B16" s="29" t="str">
        <f ca="1">IFERROR(__xludf.DUMMYFUNCTION("""COMPUTED_VALUE"""),"Araguatins")</f>
        <v>Araguatins</v>
      </c>
      <c r="C16" s="29" t="str">
        <f ca="1">IFERROR(__xludf.DUMMYFUNCTION("""COMPUTED_VALUE"""),"A.A.  A ESC. EST. SANTA GERTRUDES")</f>
        <v>A.A.  A ESC. EST. SANTA GERTRUDES</v>
      </c>
      <c r="D16" s="30" t="str">
        <f ca="1">IFERROR(__xludf.DUMMYFUNCTION("""COMPUTED_VALUE"""),"03713455000142")</f>
        <v>03713455000142</v>
      </c>
      <c r="E16" s="31">
        <v>0</v>
      </c>
      <c r="F16" s="31">
        <v>0</v>
      </c>
      <c r="G16" s="31">
        <v>134.4</v>
      </c>
      <c r="H16" s="31">
        <v>898.8</v>
      </c>
      <c r="I16" s="31">
        <v>0</v>
      </c>
      <c r="J16" s="31">
        <v>0</v>
      </c>
      <c r="K16" s="31">
        <v>470.4</v>
      </c>
      <c r="L16" s="31">
        <v>0</v>
      </c>
      <c r="M16" s="32" t="str">
        <f ca="1">IFERROR(__xludf.DUMMYFUNCTION("""COMPUTED_VALUE"""),"001")</f>
        <v>001</v>
      </c>
      <c r="N16" s="32" t="str">
        <f ca="1">IFERROR(__xludf.DUMMYFUNCTION("""COMPUTED_VALUE"""),"1305")</f>
        <v>1305</v>
      </c>
      <c r="O16" s="32" t="str">
        <f ca="1">IFERROR(__xludf.DUMMYFUNCTION("""COMPUTED_VALUE"""),"78271")</f>
        <v>78271</v>
      </c>
      <c r="P16" s="33">
        <v>1503.6</v>
      </c>
    </row>
    <row r="17" spans="1:16" s="8" customFormat="1" ht="21.95" customHeight="1">
      <c r="A17" s="22" t="str">
        <f ca="1">IFERROR(__xludf.DUMMYFUNCTION("""COMPUTED_VALUE"""),"Araguatins")</f>
        <v>Araguatins</v>
      </c>
      <c r="B17" s="22" t="str">
        <f ca="1">IFERROR(__xludf.DUMMYFUNCTION("""COMPUTED_VALUE"""),"Araguatins")</f>
        <v>Araguatins</v>
      </c>
      <c r="C17" s="22" t="str">
        <f ca="1">IFERROR(__xludf.DUMMYFUNCTION("""COMPUTED_VALUE"""),"A.A. ESC. EVANGELICA DANIEL BERG")</f>
        <v>A.A. ESC. EVANGELICA DANIEL BERG</v>
      </c>
      <c r="D17" s="23" t="str">
        <f ca="1">IFERROR(__xludf.DUMMYFUNCTION("""COMPUTED_VALUE"""),"02431547000177")</f>
        <v>02431547000177</v>
      </c>
      <c r="E17" s="27">
        <v>0</v>
      </c>
      <c r="F17" s="27">
        <v>0</v>
      </c>
      <c r="G17" s="27">
        <v>151.19999999999999</v>
      </c>
      <c r="H17" s="27">
        <v>2805.6</v>
      </c>
      <c r="I17" s="27">
        <v>0</v>
      </c>
      <c r="J17" s="27">
        <v>0</v>
      </c>
      <c r="K17" s="27">
        <v>0</v>
      </c>
      <c r="L17" s="27">
        <v>0</v>
      </c>
      <c r="M17" s="28" t="str">
        <f ca="1">IFERROR(__xludf.DUMMYFUNCTION("""COMPUTED_VALUE"""),"001")</f>
        <v>001</v>
      </c>
      <c r="N17" s="28" t="str">
        <f ca="1">IFERROR(__xludf.DUMMYFUNCTION("""COMPUTED_VALUE"""),"1305")</f>
        <v>1305</v>
      </c>
      <c r="O17" s="28" t="str">
        <f ca="1">IFERROR(__xludf.DUMMYFUNCTION("""COMPUTED_VALUE"""),"16721")</f>
        <v>16721</v>
      </c>
      <c r="P17" s="38">
        <v>2956.7999999999997</v>
      </c>
    </row>
    <row r="18" spans="1:16" s="8" customFormat="1" ht="21.95" customHeight="1">
      <c r="A18" s="29" t="str">
        <f ca="1">IFERROR(__xludf.DUMMYFUNCTION("""COMPUTED_VALUE"""),"Araguatins")</f>
        <v>Araguatins</v>
      </c>
      <c r="B18" s="29" t="str">
        <f ca="1">IFERROR(__xludf.DUMMYFUNCTION("""COMPUTED_VALUE"""),"Araguatins")</f>
        <v>Araguatins</v>
      </c>
      <c r="C18" s="29" t="str">
        <f ca="1">IFERROR(__xludf.DUMMYFUNCTION("""COMPUTED_VALUE"""),"A.A.  A ESCOLA ISOLADA BOA SORTE")</f>
        <v>A.A.  A ESCOLA ISOLADA BOA SORTE</v>
      </c>
      <c r="D18" s="30" t="str">
        <f ca="1">IFERROR(__xludf.DUMMYFUNCTION("""COMPUTED_VALUE"""),"03765304000138")</f>
        <v>03765304000138</v>
      </c>
      <c r="E18" s="31">
        <v>0</v>
      </c>
      <c r="F18" s="31">
        <v>0</v>
      </c>
      <c r="G18" s="31">
        <v>0</v>
      </c>
      <c r="H18" s="31">
        <v>697.2</v>
      </c>
      <c r="I18" s="31">
        <v>0</v>
      </c>
      <c r="J18" s="31">
        <v>0</v>
      </c>
      <c r="K18" s="31">
        <v>428.4</v>
      </c>
      <c r="L18" s="31">
        <v>0</v>
      </c>
      <c r="M18" s="32" t="str">
        <f ca="1">IFERROR(__xludf.DUMMYFUNCTION("""COMPUTED_VALUE"""),"001")</f>
        <v>001</v>
      </c>
      <c r="N18" s="32" t="str">
        <f ca="1">IFERROR(__xludf.DUMMYFUNCTION("""COMPUTED_VALUE"""),"1305")</f>
        <v>1305</v>
      </c>
      <c r="O18" s="32" t="str">
        <f ca="1">IFERROR(__xludf.DUMMYFUNCTION("""COMPUTED_VALUE"""),"78964")</f>
        <v>78964</v>
      </c>
      <c r="P18" s="33">
        <v>1125.5999999999999</v>
      </c>
    </row>
    <row r="19" spans="1:16" s="8" customFormat="1" ht="21.95" customHeight="1">
      <c r="A19" s="22" t="str">
        <f ca="1">IFERROR(__xludf.DUMMYFUNCTION("""COMPUTED_VALUE"""),"Araguatins")</f>
        <v>Araguatins</v>
      </c>
      <c r="B19" s="22" t="str">
        <f ca="1">IFERROR(__xludf.DUMMYFUNCTION("""COMPUTED_VALUE"""),"Augustinopolis")</f>
        <v>Augustinopolis</v>
      </c>
      <c r="C19" s="22" t="str">
        <f ca="1">IFERROR(__xludf.DUMMYFUNCTION("""COMPUTED_VALUE"""),"A.A. CENTRO EST. DE EDUCACAO LA SALLE")</f>
        <v>A.A. CENTRO EST. DE EDUCACAO LA SALLE</v>
      </c>
      <c r="D19" s="23" t="str">
        <f ca="1">IFERROR(__xludf.DUMMYFUNCTION("""COMPUTED_VALUE"""),"01223753000129")</f>
        <v>01223753000129</v>
      </c>
      <c r="E19" s="27">
        <v>0</v>
      </c>
      <c r="F19" s="27">
        <v>0</v>
      </c>
      <c r="G19" s="27">
        <v>319.2</v>
      </c>
      <c r="H19" s="27">
        <v>5191.2</v>
      </c>
      <c r="I19" s="27">
        <v>0</v>
      </c>
      <c r="J19" s="27">
        <v>0</v>
      </c>
      <c r="K19" s="27">
        <v>0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IFERROR(__xludf.DUMMYFUNCTION("""COMPUTED_VALUE"""),"3975")</f>
        <v>3975</v>
      </c>
      <c r="O19" s="28" t="str">
        <f ca="1">IFERROR(__xludf.DUMMYFUNCTION("""COMPUTED_VALUE"""),"19216")</f>
        <v>19216</v>
      </c>
      <c r="P19" s="38">
        <v>5510.4</v>
      </c>
    </row>
    <row r="20" spans="1:16" s="8" customFormat="1" ht="21.95" customHeight="1">
      <c r="A20" s="29" t="str">
        <f ca="1">IFERROR(__xludf.DUMMYFUNCTION("""COMPUTED_VALUE"""),"Araguatins")</f>
        <v>Araguatins</v>
      </c>
      <c r="B20" s="29" t="str">
        <f ca="1">IFERROR(__xludf.DUMMYFUNCTION("""COMPUTED_VALUE"""),"Augustinopolis")</f>
        <v>Augustinopolis</v>
      </c>
      <c r="C20" s="29" t="str">
        <f ca="1">IFERROR(__xludf.DUMMYFUNCTION("""COMPUTED_VALUE"""),"ASSOC. DE APOIO COL. EST. MANOEL VICENTE SOUZA")</f>
        <v>ASSOC. DE APOIO COL. EST. MANOEL VICENTE SOUZA</v>
      </c>
      <c r="D20" s="30" t="str">
        <f ca="1">IFERROR(__xludf.DUMMYFUNCTION("""COMPUTED_VALUE"""),"01223642000112")</f>
        <v>01223642000112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369.6</v>
      </c>
      <c r="L20" s="31">
        <v>0</v>
      </c>
      <c r="M20" s="32" t="str">
        <f ca="1">IFERROR(__xludf.DUMMYFUNCTION("""COMPUTED_VALUE"""),"001")</f>
        <v>001</v>
      </c>
      <c r="N20" s="32" t="str">
        <f ca="1">IFERROR(__xludf.DUMMYFUNCTION("""COMPUTED_VALUE"""),"3975")</f>
        <v>3975</v>
      </c>
      <c r="O20" s="32" t="str">
        <f ca="1">IFERROR(__xludf.DUMMYFUNCTION("""COMPUTED_VALUE"""),"139297")</f>
        <v>139297</v>
      </c>
      <c r="P20" s="33">
        <v>369.6</v>
      </c>
    </row>
    <row r="21" spans="1:16" s="8" customFormat="1" ht="21.95" customHeight="1">
      <c r="A21" s="22" t="str">
        <f ca="1">IFERROR(__xludf.DUMMYFUNCTION("""COMPUTED_VALUE"""),"Araguatins")</f>
        <v>Araguatins</v>
      </c>
      <c r="B21" s="22" t="str">
        <f ca="1">IFERROR(__xludf.DUMMYFUNCTION("""COMPUTED_VALUE"""),"Augustinopolis")</f>
        <v>Augustinopolis</v>
      </c>
      <c r="C21" s="22" t="str">
        <f ca="1">IFERROR(__xludf.DUMMYFUNCTION("""COMPUTED_VALUE"""),"A.A. ESCOLA ESTADUAL AUGUSTINOPOLIS")</f>
        <v>A.A. ESCOLA ESTADUAL AUGUSTINOPOLIS</v>
      </c>
      <c r="D21" s="23" t="str">
        <f ca="1">IFERROR(__xludf.DUMMYFUNCTION("""COMPUTED_VALUE"""),"01133692000109")</f>
        <v>01133692000109</v>
      </c>
      <c r="E21" s="27">
        <v>0</v>
      </c>
      <c r="F21" s="27">
        <v>0</v>
      </c>
      <c r="G21" s="27">
        <v>126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8" t="str">
        <f ca="1">IFERROR(__xludf.DUMMYFUNCTION("""COMPUTED_VALUE"""),"001")</f>
        <v>001</v>
      </c>
      <c r="N21" s="28" t="str">
        <f ca="1">IFERROR(__xludf.DUMMYFUNCTION("""COMPUTED_VALUE"""),"3975")</f>
        <v>3975</v>
      </c>
      <c r="O21" s="28" t="str">
        <f ca="1">IFERROR(__xludf.DUMMYFUNCTION("""COMPUTED_VALUE"""),"019151")</f>
        <v>019151</v>
      </c>
      <c r="P21" s="38">
        <v>126</v>
      </c>
    </row>
    <row r="22" spans="1:16" s="8" customFormat="1" ht="21.95" customHeight="1">
      <c r="A22" s="29" t="str">
        <f ca="1">IFERROR(__xludf.DUMMYFUNCTION("""COMPUTED_VALUE"""),"Araguatins")</f>
        <v>Araguatins</v>
      </c>
      <c r="B22" s="29" t="str">
        <f ca="1">IFERROR(__xludf.DUMMYFUNCTION("""COMPUTED_VALUE"""),"Augustinopolis")</f>
        <v>Augustinopolis</v>
      </c>
      <c r="C22" s="29" t="str">
        <f ca="1">IFERROR(__xludf.DUMMYFUNCTION("""COMPUTED_VALUE"""),"ASSOC. DE AP.ESC. EST. FAZ.DEZESSEIS")</f>
        <v>ASSOC. DE AP.ESC. EST. FAZ.DEZESSEIS</v>
      </c>
      <c r="D22" s="30" t="str">
        <f ca="1">IFERROR(__xludf.DUMMYFUNCTION("""COMPUTED_VALUE"""),"01133695000142")</f>
        <v>01133695000142</v>
      </c>
      <c r="E22" s="31">
        <v>0</v>
      </c>
      <c r="F22" s="31">
        <v>0</v>
      </c>
      <c r="G22" s="31">
        <v>117.6</v>
      </c>
      <c r="H22" s="31">
        <v>991.2</v>
      </c>
      <c r="I22" s="31">
        <v>0</v>
      </c>
      <c r="J22" s="31">
        <v>0</v>
      </c>
      <c r="K22" s="31">
        <v>184.8</v>
      </c>
      <c r="L22" s="31">
        <v>1419.6</v>
      </c>
      <c r="M22" s="32" t="str">
        <f ca="1">IFERROR(__xludf.DUMMYFUNCTION("""COMPUTED_VALUE"""),"001")</f>
        <v>001</v>
      </c>
      <c r="N22" s="32" t="str">
        <f ca="1">IFERROR(__xludf.DUMMYFUNCTION("""COMPUTED_VALUE"""),"3975")</f>
        <v>3975</v>
      </c>
      <c r="O22" s="32" t="str">
        <f ca="1">IFERROR(__xludf.DUMMYFUNCTION("""COMPUTED_VALUE"""),"0019615")</f>
        <v>0019615</v>
      </c>
      <c r="P22" s="33">
        <v>2713.2</v>
      </c>
    </row>
    <row r="23" spans="1:16" s="8" customFormat="1" ht="21.95" customHeight="1">
      <c r="A23" s="22" t="str">
        <f ca="1">IFERROR(__xludf.DUMMYFUNCTION("""COMPUTED_VALUE"""),"Araguatins")</f>
        <v>Araguatins</v>
      </c>
      <c r="B23" s="22" t="str">
        <f ca="1">IFERROR(__xludf.DUMMYFUNCTION("""COMPUTED_VALUE"""),"Augustinopolis")</f>
        <v>Augustinopolis</v>
      </c>
      <c r="C23" s="22" t="str">
        <f ca="1">IFERROR(__xludf.DUMMYFUNCTION("""COMPUTED_VALUE"""),"A.A. DA ESCOLA EST. SANTA GENOVEVA")</f>
        <v>A.A. DA ESCOLA EST. SANTA GENOVEVA</v>
      </c>
      <c r="D23" s="23" t="str">
        <f ca="1">IFERROR(__xludf.DUMMYFUNCTION("""COMPUTED_VALUE"""),"01068357000174")</f>
        <v>01068357000174</v>
      </c>
      <c r="E23" s="27">
        <v>0</v>
      </c>
      <c r="F23" s="27">
        <v>0</v>
      </c>
      <c r="G23" s="27">
        <v>0</v>
      </c>
      <c r="H23" s="27">
        <v>4006.8</v>
      </c>
      <c r="I23" s="27">
        <v>0</v>
      </c>
      <c r="J23" s="27">
        <v>0</v>
      </c>
      <c r="K23" s="27">
        <v>2209.1999999999998</v>
      </c>
      <c r="L23" s="27">
        <v>0</v>
      </c>
      <c r="M23" s="28" t="str">
        <f ca="1">IFERROR(__xludf.DUMMYFUNCTION("""COMPUTED_VALUE"""),"001")</f>
        <v>001</v>
      </c>
      <c r="N23" s="28" t="str">
        <f ca="1">IFERROR(__xludf.DUMMYFUNCTION("""COMPUTED_VALUE"""),"3975")</f>
        <v>3975</v>
      </c>
      <c r="O23" s="28" t="str">
        <f ca="1">IFERROR(__xludf.DUMMYFUNCTION("""COMPUTED_VALUE"""),"0019461")</f>
        <v>0019461</v>
      </c>
      <c r="P23" s="38">
        <v>6216</v>
      </c>
    </row>
    <row r="24" spans="1:16" s="8" customFormat="1" ht="21.95" customHeight="1">
      <c r="A24" s="29" t="str">
        <f ca="1">IFERROR(__xludf.DUMMYFUNCTION("""COMPUTED_VALUE"""),"Araguatins")</f>
        <v>Araguatins</v>
      </c>
      <c r="B24" s="29" t="str">
        <f ca="1">IFERROR(__xludf.DUMMYFUNCTION("""COMPUTED_VALUE"""),"Axixa do Tocantins")</f>
        <v>Axixa do Tocantins</v>
      </c>
      <c r="C24" s="29" t="str">
        <f ca="1">IFERROR(__xludf.DUMMYFUNCTION("""COMPUTED_VALUE"""),"ASSOC. DE APOIO COLÉGIO. EST. MAL. RIBAS JUNIOR")</f>
        <v>ASSOC. DE APOIO COLÉGIO. EST. MAL. RIBAS JUNIOR</v>
      </c>
      <c r="D24" s="30" t="str">
        <f ca="1">IFERROR(__xludf.DUMMYFUNCTION("""COMPUTED_VALUE"""),"01086979000125")</f>
        <v>01086979000125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6056.4</v>
      </c>
      <c r="L24" s="31">
        <v>0</v>
      </c>
      <c r="M24" s="32" t="str">
        <f ca="1">IFERROR(__xludf.DUMMYFUNCTION("""COMPUTED_VALUE"""),"001")</f>
        <v>001</v>
      </c>
      <c r="N24" s="32" t="str">
        <f ca="1">IFERROR(__xludf.DUMMYFUNCTION("""COMPUTED_VALUE"""),"1305")</f>
        <v>1305</v>
      </c>
      <c r="O24" s="32" t="str">
        <f ca="1">IFERROR(__xludf.DUMMYFUNCTION("""COMPUTED_VALUE"""),"209201")</f>
        <v>209201</v>
      </c>
      <c r="P24" s="33">
        <v>6056.4</v>
      </c>
    </row>
    <row r="25" spans="1:16" s="8" customFormat="1" ht="21.95" customHeight="1">
      <c r="A25" s="22" t="str">
        <f ca="1">IFERROR(__xludf.DUMMYFUNCTION("""COMPUTED_VALUE"""),"Araguatins")</f>
        <v>Araguatins</v>
      </c>
      <c r="B25" s="22" t="str">
        <f ca="1">IFERROR(__xludf.DUMMYFUNCTION("""COMPUTED_VALUE"""),"Axixa do Tocantins")</f>
        <v>Axixa do Tocantins</v>
      </c>
      <c r="C25" s="22" t="str">
        <f ca="1">IFERROR(__xludf.DUMMYFUNCTION("""COMPUTED_VALUE"""),"A.A. ESC. EST. SAO FRANCISCO DE ASSIS")</f>
        <v>A.A. ESC. EST. SAO FRANCISCO DE ASSIS</v>
      </c>
      <c r="D25" s="23" t="str">
        <f ca="1">IFERROR(__xludf.DUMMYFUNCTION("""COMPUTED_VALUE"""),"01086980000150")</f>
        <v>01086980000150</v>
      </c>
      <c r="E25" s="27">
        <v>0</v>
      </c>
      <c r="F25" s="27">
        <v>0</v>
      </c>
      <c r="G25" s="27">
        <v>151.19999999999999</v>
      </c>
      <c r="H25" s="27">
        <v>1612.8</v>
      </c>
      <c r="I25" s="27">
        <v>0</v>
      </c>
      <c r="J25" s="27">
        <v>0</v>
      </c>
      <c r="K25" s="27">
        <v>0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IFERROR(__xludf.DUMMYFUNCTION("""COMPUTED_VALUE"""),"1305")</f>
        <v>1305</v>
      </c>
      <c r="O25" s="28" t="str">
        <f ca="1">IFERROR(__xludf.DUMMYFUNCTION("""COMPUTED_VALUE"""),"19399")</f>
        <v>19399</v>
      </c>
      <c r="P25" s="38">
        <v>1764</v>
      </c>
    </row>
    <row r="26" spans="1:16" s="8" customFormat="1" ht="21.95" customHeight="1">
      <c r="A26" s="29" t="str">
        <f ca="1">IFERROR(__xludf.DUMMYFUNCTION("""COMPUTED_VALUE"""),"Araguatins")</f>
        <v>Araguatins</v>
      </c>
      <c r="B26" s="29" t="str">
        <f ca="1">IFERROR(__xludf.DUMMYFUNCTION("""COMPUTED_VALUE"""),"Buriti do Tocantins")</f>
        <v>Buriti do Tocantins</v>
      </c>
      <c r="C26" s="29" t="str">
        <f ca="1">IFERROR(__xludf.DUMMYFUNCTION("""COMPUTED_VALUE"""),"A. DE APOIO DO COLEGIO EST. BURITI")</f>
        <v>A. DE APOIO DO COLEGIO EST. BURITI</v>
      </c>
      <c r="D26" s="30" t="str">
        <f ca="1">IFERROR(__xludf.DUMMYFUNCTION("""COMPUTED_VALUE"""),"01206217000115")</f>
        <v>01206217000115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218.4</v>
      </c>
      <c r="L26" s="31">
        <v>0</v>
      </c>
      <c r="M26" s="32" t="str">
        <f ca="1">IFERROR(__xludf.DUMMYFUNCTION("""COMPUTED_VALUE"""),"001")</f>
        <v>001</v>
      </c>
      <c r="N26" s="32" t="str">
        <f ca="1">IFERROR(__xludf.DUMMYFUNCTION("""COMPUTED_VALUE"""),"1305")</f>
        <v>1305</v>
      </c>
      <c r="O26" s="32" t="str">
        <f ca="1">IFERROR(__xludf.DUMMYFUNCTION("""COMPUTED_VALUE"""),"209406")</f>
        <v>209406</v>
      </c>
      <c r="P26" s="33">
        <v>218.4</v>
      </c>
    </row>
    <row r="27" spans="1:16" s="8" customFormat="1" ht="21.95" customHeight="1">
      <c r="A27" s="22" t="str">
        <f ca="1">IFERROR(__xludf.DUMMYFUNCTION("""COMPUTED_VALUE"""),"Araguatins")</f>
        <v>Araguatins</v>
      </c>
      <c r="B27" s="22" t="str">
        <f ca="1">IFERROR(__xludf.DUMMYFUNCTION("""COMPUTED_VALUE"""),"Buriti do Tocantins")</f>
        <v>Buriti do Tocantins</v>
      </c>
      <c r="C27" s="22" t="str">
        <f ca="1">IFERROR(__xludf.DUMMYFUNCTION("""COMPUTED_VALUE"""),"A.A. DA ESCOLA ESTADUAL DARCYNOPOLIS")</f>
        <v>A.A. DA ESCOLA ESTADUAL DARCYNOPOLIS</v>
      </c>
      <c r="D27" s="23" t="str">
        <f ca="1">IFERROR(__xludf.DUMMYFUNCTION("""COMPUTED_VALUE"""),"01190184000162")</f>
        <v>01190184000162</v>
      </c>
      <c r="E27" s="27">
        <v>0</v>
      </c>
      <c r="F27" s="27">
        <v>0</v>
      </c>
      <c r="G27" s="27">
        <v>117.6</v>
      </c>
      <c r="H27" s="27">
        <v>1024.8</v>
      </c>
      <c r="I27" s="27">
        <v>0</v>
      </c>
      <c r="J27" s="27">
        <v>0</v>
      </c>
      <c r="K27" s="27">
        <v>352.8</v>
      </c>
      <c r="L27" s="27">
        <v>0</v>
      </c>
      <c r="M27" s="28" t="str">
        <f ca="1">IFERROR(__xludf.DUMMYFUNCTION("""COMPUTED_VALUE"""),"001")</f>
        <v>001</v>
      </c>
      <c r="N27" s="28" t="str">
        <f ca="1">IFERROR(__xludf.DUMMYFUNCTION("""COMPUTED_VALUE"""),"3975")</f>
        <v>3975</v>
      </c>
      <c r="O27" s="28" t="str">
        <f ca="1">IFERROR(__xludf.DUMMYFUNCTION("""COMPUTED_VALUE"""),"0019275")</f>
        <v>0019275</v>
      </c>
      <c r="P27" s="38">
        <v>1495.1999999999998</v>
      </c>
    </row>
    <row r="28" spans="1:16" s="8" customFormat="1" ht="21.95" customHeight="1">
      <c r="A28" s="29" t="str">
        <f ca="1">IFERROR(__xludf.DUMMYFUNCTION("""COMPUTED_VALUE"""),"Araguatins")</f>
        <v>Araguatins</v>
      </c>
      <c r="B28" s="29" t="str">
        <f ca="1">IFERROR(__xludf.DUMMYFUNCTION("""COMPUTED_VALUE"""),"Buriti do Tocantins")</f>
        <v>Buriti do Tocantins</v>
      </c>
      <c r="C28" s="29" t="str">
        <f ca="1">IFERROR(__xludf.DUMMYFUNCTION("""COMPUTED_VALUE"""),"A.A. ESC. ESTADUAL MINISTRO NEY BRAGA")</f>
        <v>A.A. ESC. ESTADUAL MINISTRO NEY BRAGA</v>
      </c>
      <c r="D28" s="30" t="str">
        <f ca="1">IFERROR(__xludf.DUMMYFUNCTION("""COMPUTED_VALUE"""),"01206220000139")</f>
        <v>01206220000139</v>
      </c>
      <c r="E28" s="31">
        <v>0</v>
      </c>
      <c r="F28" s="31">
        <v>0</v>
      </c>
      <c r="G28" s="31">
        <v>126</v>
      </c>
      <c r="H28" s="31">
        <v>638.4</v>
      </c>
      <c r="I28" s="31">
        <v>0</v>
      </c>
      <c r="J28" s="31">
        <v>0</v>
      </c>
      <c r="K28" s="31">
        <v>562.79999999999995</v>
      </c>
      <c r="L28" s="31">
        <v>0</v>
      </c>
      <c r="M28" s="32" t="str">
        <f ca="1">IFERROR(__xludf.DUMMYFUNCTION("""COMPUTED_VALUE"""),"001")</f>
        <v>001</v>
      </c>
      <c r="N28" s="32" t="str">
        <f ca="1">IFERROR(__xludf.DUMMYFUNCTION("""COMPUTED_VALUE"""),"1305")</f>
        <v>1305</v>
      </c>
      <c r="O28" s="32" t="str">
        <f ca="1">IFERROR(__xludf.DUMMYFUNCTION("""COMPUTED_VALUE"""),"10941X")</f>
        <v>10941X</v>
      </c>
      <c r="P28" s="33">
        <v>1327.1999999999998</v>
      </c>
    </row>
    <row r="29" spans="1:16" s="8" customFormat="1" ht="21.95" customHeight="1">
      <c r="A29" s="22" t="str">
        <f ca="1">IFERROR(__xludf.DUMMYFUNCTION("""COMPUTED_VALUE"""),"Araguatins")</f>
        <v>Araguatins</v>
      </c>
      <c r="B29" s="22" t="str">
        <f ca="1">IFERROR(__xludf.DUMMYFUNCTION("""COMPUTED_VALUE"""),"Buriti do Tocantins")</f>
        <v>Buriti do Tocantins</v>
      </c>
      <c r="C29" s="22" t="str">
        <f ca="1">IFERROR(__xludf.DUMMYFUNCTION("""COMPUTED_VALUE"""),"A.A. ESC. E.PRES.TANCREDO DE A.NEVES")</f>
        <v>A.A. ESC. E.PRES.TANCREDO DE A.NEVES</v>
      </c>
      <c r="D29" s="23" t="str">
        <f ca="1">IFERROR(__xludf.DUMMYFUNCTION("""COMPUTED_VALUE"""),"01112478000176")</f>
        <v>01112478000176</v>
      </c>
      <c r="E29" s="27">
        <v>0</v>
      </c>
      <c r="F29" s="27">
        <v>0</v>
      </c>
      <c r="G29" s="27">
        <v>235.2</v>
      </c>
      <c r="H29" s="27">
        <v>1722</v>
      </c>
      <c r="I29" s="27">
        <v>0</v>
      </c>
      <c r="J29" s="27">
        <v>0</v>
      </c>
      <c r="K29" s="27">
        <v>0</v>
      </c>
      <c r="L29" s="27">
        <v>0</v>
      </c>
      <c r="M29" s="28" t="str">
        <f ca="1">IFERROR(__xludf.DUMMYFUNCTION("""COMPUTED_VALUE"""),"001")</f>
        <v>001</v>
      </c>
      <c r="N29" s="28" t="str">
        <f ca="1">IFERROR(__xludf.DUMMYFUNCTION("""COMPUTED_VALUE"""),"1305")</f>
        <v>1305</v>
      </c>
      <c r="O29" s="28" t="str">
        <f ca="1">IFERROR(__xludf.DUMMYFUNCTION("""COMPUTED_VALUE"""),"10924X")</f>
        <v>10924X</v>
      </c>
      <c r="P29" s="38">
        <v>1957.2</v>
      </c>
    </row>
    <row r="30" spans="1:16" s="8" customFormat="1" ht="21.95" customHeight="1">
      <c r="A30" s="29" t="str">
        <f ca="1">IFERROR(__xludf.DUMMYFUNCTION("""COMPUTED_VALUE"""),"Araguatins")</f>
        <v>Araguatins</v>
      </c>
      <c r="B30" s="29" t="str">
        <f ca="1">IFERROR(__xludf.DUMMYFUNCTION("""COMPUTED_VALUE"""),"Buriti do Tocantins")</f>
        <v>Buriti do Tocantins</v>
      </c>
      <c r="C30" s="29" t="str">
        <f ca="1">IFERROR(__xludf.DUMMYFUNCTION("""COMPUTED_VALUE"""),"A.A. ESC. EST. VICENTE CARLOS DE SOUSA")</f>
        <v>A.A. ESC. EST. VICENTE CARLOS DE SOUSA</v>
      </c>
      <c r="D30" s="30" t="str">
        <f ca="1">IFERROR(__xludf.DUMMYFUNCTION("""COMPUTED_VALUE"""),"01206288000118")</f>
        <v>01206288000118</v>
      </c>
      <c r="E30" s="31">
        <v>0</v>
      </c>
      <c r="F30" s="31">
        <v>0</v>
      </c>
      <c r="G30" s="31">
        <v>0</v>
      </c>
      <c r="H30" s="31">
        <v>2973.6</v>
      </c>
      <c r="I30" s="31">
        <v>0</v>
      </c>
      <c r="J30" s="31">
        <v>0</v>
      </c>
      <c r="K30" s="31">
        <v>924</v>
      </c>
      <c r="L30" s="31">
        <v>0</v>
      </c>
      <c r="M30" s="32" t="str">
        <f ca="1">IFERROR(__xludf.DUMMYFUNCTION("""COMPUTED_VALUE"""),"001")</f>
        <v>001</v>
      </c>
      <c r="N30" s="32" t="str">
        <f ca="1">IFERROR(__xludf.DUMMYFUNCTION("""COMPUTED_VALUE"""),"1305")</f>
        <v>1305</v>
      </c>
      <c r="O30" s="32" t="str">
        <f ca="1">IFERROR(__xludf.DUMMYFUNCTION("""COMPUTED_VALUE"""),"0109614")</f>
        <v>0109614</v>
      </c>
      <c r="P30" s="33">
        <v>3897.6</v>
      </c>
    </row>
    <row r="31" spans="1:16" s="8" customFormat="1" ht="21.95" customHeight="1">
      <c r="A31" s="22" t="str">
        <f ca="1">IFERROR(__xludf.DUMMYFUNCTION("""COMPUTED_VALUE"""),"Araguatins")</f>
        <v>Araguatins</v>
      </c>
      <c r="B31" s="22" t="str">
        <f ca="1">IFERROR(__xludf.DUMMYFUNCTION("""COMPUTED_VALUE"""),"Carrasco Bonito")</f>
        <v>Carrasco Bonito</v>
      </c>
      <c r="C31" s="22" t="str">
        <f ca="1">IFERROR(__xludf.DUMMYFUNCTION("""COMPUTED_VALUE"""),"A.A. DA ESC. EST. CICERO GOMES")</f>
        <v>A.A. DA ESC. EST. CICERO GOMES</v>
      </c>
      <c r="D31" s="23" t="str">
        <f ca="1">IFERROR(__xludf.DUMMYFUNCTION("""COMPUTED_VALUE"""),"01068377000145")</f>
        <v>01068377000145</v>
      </c>
      <c r="E31" s="27">
        <v>0</v>
      </c>
      <c r="F31" s="27">
        <v>0</v>
      </c>
      <c r="G31" s="27">
        <v>100.8</v>
      </c>
      <c r="H31" s="27">
        <v>680.4</v>
      </c>
      <c r="I31" s="27">
        <v>0</v>
      </c>
      <c r="J31" s="27">
        <v>0</v>
      </c>
      <c r="K31" s="27">
        <v>1159.2</v>
      </c>
      <c r="L31" s="27">
        <v>319.2</v>
      </c>
      <c r="M31" s="28" t="str">
        <f ca="1">IFERROR(__xludf.DUMMYFUNCTION("""COMPUTED_VALUE"""),"001")</f>
        <v>001</v>
      </c>
      <c r="N31" s="28" t="str">
        <f ca="1">IFERROR(__xludf.DUMMYFUNCTION("""COMPUTED_VALUE"""),"3975")</f>
        <v>3975</v>
      </c>
      <c r="O31" s="28" t="str">
        <f ca="1">IFERROR(__xludf.DUMMYFUNCTION("""COMPUTED_VALUE"""),"19291")</f>
        <v>19291</v>
      </c>
      <c r="P31" s="38">
        <v>2259.6</v>
      </c>
    </row>
    <row r="32" spans="1:16" s="8" customFormat="1" ht="21.95" customHeight="1">
      <c r="A32" s="29" t="str">
        <f ca="1">IFERROR(__xludf.DUMMYFUNCTION("""COMPUTED_VALUE"""),"Araguatins")</f>
        <v>Araguatins</v>
      </c>
      <c r="B32" s="29" t="str">
        <f ca="1">IFERROR(__xludf.DUMMYFUNCTION("""COMPUTED_VALUE"""),"Carrasco Bonito")</f>
        <v>Carrasco Bonito</v>
      </c>
      <c r="C32" s="29" t="str">
        <f ca="1">IFERROR(__xludf.DUMMYFUNCTION("""COMPUTED_VALUE"""),"A.A.  DA ESCOLA ESTADUAL INES VIANA")</f>
        <v>A.A.  DA ESCOLA ESTADUAL INES VIANA</v>
      </c>
      <c r="D32" s="30" t="str">
        <f ca="1">IFERROR(__xludf.DUMMYFUNCTION("""COMPUTED_VALUE"""),"02508340000153")</f>
        <v>02508340000153</v>
      </c>
      <c r="E32" s="31">
        <v>0</v>
      </c>
      <c r="F32" s="31">
        <v>0</v>
      </c>
      <c r="G32" s="31">
        <v>0</v>
      </c>
      <c r="H32" s="31">
        <v>772.8</v>
      </c>
      <c r="I32" s="31">
        <v>0</v>
      </c>
      <c r="J32" s="31">
        <v>0</v>
      </c>
      <c r="K32" s="31">
        <v>294</v>
      </c>
      <c r="L32" s="31">
        <v>100.8</v>
      </c>
      <c r="M32" s="32" t="str">
        <f ca="1">IFERROR(__xludf.DUMMYFUNCTION("""COMPUTED_VALUE"""),"001")</f>
        <v>001</v>
      </c>
      <c r="N32" s="32" t="str">
        <f ca="1">IFERROR(__xludf.DUMMYFUNCTION("""COMPUTED_VALUE"""),"3975")</f>
        <v>3975</v>
      </c>
      <c r="O32" s="32" t="str">
        <f ca="1">IFERROR(__xludf.DUMMYFUNCTION("""COMPUTED_VALUE"""),"51713")</f>
        <v>51713</v>
      </c>
      <c r="P32" s="33">
        <v>1167.5999999999999</v>
      </c>
    </row>
    <row r="33" spans="1:16" s="8" customFormat="1" ht="21.95" customHeight="1">
      <c r="A33" s="22" t="str">
        <f ca="1">IFERROR(__xludf.DUMMYFUNCTION("""COMPUTED_VALUE"""),"Araguatins")</f>
        <v>Araguatins</v>
      </c>
      <c r="B33" s="22" t="str">
        <f ca="1">IFERROR(__xludf.DUMMYFUNCTION("""COMPUTED_VALUE"""),"Esperantina")</f>
        <v>Esperantina</v>
      </c>
      <c r="C33" s="22" t="str">
        <f ca="1">IFERROR(__xludf.DUMMYFUNCTION("""COMPUTED_VALUE"""),"A.A. ESC. EST. JOAQUINA MARIA DA SILVA")</f>
        <v>A.A. ESC. EST. JOAQUINA MARIA DA SILVA</v>
      </c>
      <c r="D33" s="23" t="str">
        <f ca="1">IFERROR(__xludf.DUMMYFUNCTION("""COMPUTED_VALUE"""),"01113183000114")</f>
        <v>01113183000114</v>
      </c>
      <c r="E33" s="27">
        <v>0</v>
      </c>
      <c r="F33" s="27">
        <v>0</v>
      </c>
      <c r="G33" s="27">
        <v>0</v>
      </c>
      <c r="H33" s="27">
        <v>1335.6</v>
      </c>
      <c r="I33" s="27">
        <v>0</v>
      </c>
      <c r="J33" s="27">
        <v>0</v>
      </c>
      <c r="K33" s="27">
        <v>1982.4</v>
      </c>
      <c r="L33" s="27">
        <v>0</v>
      </c>
      <c r="M33" s="28" t="str">
        <f ca="1">IFERROR(__xludf.DUMMYFUNCTION("""COMPUTED_VALUE"""),"001")</f>
        <v>001</v>
      </c>
      <c r="N33" s="28" t="str">
        <f ca="1">IFERROR(__xludf.DUMMYFUNCTION("""COMPUTED_VALUE"""),"1305")</f>
        <v>1305</v>
      </c>
      <c r="O33" s="28" t="str">
        <f ca="1">IFERROR(__xludf.DUMMYFUNCTION("""COMPUTED_VALUE"""),"109665")</f>
        <v>109665</v>
      </c>
      <c r="P33" s="38">
        <v>3318</v>
      </c>
    </row>
    <row r="34" spans="1:16" s="8" customFormat="1" ht="21.95" customHeight="1">
      <c r="A34" s="29" t="str">
        <f ca="1">IFERROR(__xludf.DUMMYFUNCTION("""COMPUTED_VALUE"""),"Araguatins")</f>
        <v>Araguatins</v>
      </c>
      <c r="B34" s="29" t="str">
        <f ca="1">IFERROR(__xludf.DUMMYFUNCTION("""COMPUTED_VALUE"""),"Esperantina")</f>
        <v>Esperantina</v>
      </c>
      <c r="C34" s="29" t="str">
        <f ca="1">IFERROR(__xludf.DUMMYFUNCTION("""COMPUTED_VALUE"""),"A.A. ESC. ESTADUAL ULISSES GUIMARAES")</f>
        <v>A.A. ESC. ESTADUAL ULISSES GUIMARAES</v>
      </c>
      <c r="D34" s="30" t="str">
        <f ca="1">IFERROR(__xludf.DUMMYFUNCTION("""COMPUTED_VALUE"""),"01190183000118")</f>
        <v>01190183000118</v>
      </c>
      <c r="E34" s="31">
        <v>0</v>
      </c>
      <c r="F34" s="31">
        <v>0</v>
      </c>
      <c r="G34" s="31">
        <v>25.2</v>
      </c>
      <c r="H34" s="31">
        <v>1705.2</v>
      </c>
      <c r="I34" s="31">
        <v>0</v>
      </c>
      <c r="J34" s="31">
        <v>0</v>
      </c>
      <c r="K34" s="31">
        <v>1713.6000000000001</v>
      </c>
      <c r="L34" s="31">
        <v>0</v>
      </c>
      <c r="M34" s="32" t="str">
        <f ca="1">IFERROR(__xludf.DUMMYFUNCTION("""COMPUTED_VALUE"""),"001")</f>
        <v>001</v>
      </c>
      <c r="N34" s="32" t="str">
        <f ca="1">IFERROR(__xludf.DUMMYFUNCTION("""COMPUTED_VALUE"""),"1305")</f>
        <v>1305</v>
      </c>
      <c r="O34" s="32" t="str">
        <f ca="1">IFERROR(__xludf.DUMMYFUNCTION("""COMPUTED_VALUE"""),"109363")</f>
        <v>109363</v>
      </c>
      <c r="P34" s="33">
        <v>3444</v>
      </c>
    </row>
    <row r="35" spans="1:16" s="8" customFormat="1" ht="21.95" customHeight="1">
      <c r="A35" s="22" t="str">
        <f ca="1">IFERROR(__xludf.DUMMYFUNCTION("""COMPUTED_VALUE"""),"Araguatins")</f>
        <v>Araguatins</v>
      </c>
      <c r="B35" s="22" t="str">
        <f ca="1">IFERROR(__xludf.DUMMYFUNCTION("""COMPUTED_VALUE"""),"Praia Norte")</f>
        <v>Praia Norte</v>
      </c>
      <c r="C35" s="22" t="str">
        <f ca="1">IFERROR(__xludf.DUMMYFUNCTION("""COMPUTED_VALUE"""),"ASS. DE AP.ESCOLA EST. Iº DE JUNHO")</f>
        <v>ASS. DE AP.ESCOLA EST. Iº DE JUNHO</v>
      </c>
      <c r="D35" s="23" t="str">
        <f ca="1">IFERROR(__xludf.DUMMYFUNCTION("""COMPUTED_VALUE"""),"01392734000126")</f>
        <v>01392734000126</v>
      </c>
      <c r="E35" s="27">
        <v>0</v>
      </c>
      <c r="F35" s="27">
        <v>0</v>
      </c>
      <c r="G35" s="27">
        <v>117.6</v>
      </c>
      <c r="H35" s="27">
        <v>1596</v>
      </c>
      <c r="I35" s="27">
        <v>0</v>
      </c>
      <c r="J35" s="27">
        <v>0</v>
      </c>
      <c r="K35" s="27">
        <v>0</v>
      </c>
      <c r="L35" s="27">
        <v>0</v>
      </c>
      <c r="M35" s="28" t="str">
        <f ca="1">IFERROR(__xludf.DUMMYFUNCTION("""COMPUTED_VALUE"""),"001")</f>
        <v>001</v>
      </c>
      <c r="N35" s="28" t="str">
        <f ca="1">IFERROR(__xludf.DUMMYFUNCTION("""COMPUTED_VALUE"""),"3975")</f>
        <v>3975</v>
      </c>
      <c r="O35" s="28" t="str">
        <f ca="1">IFERROR(__xludf.DUMMYFUNCTION("""COMPUTED_VALUE"""),"19712")</f>
        <v>19712</v>
      </c>
      <c r="P35" s="38">
        <v>1713.6</v>
      </c>
    </row>
    <row r="36" spans="1:16" s="8" customFormat="1" ht="21.95" customHeight="1">
      <c r="A36" s="29" t="str">
        <f ca="1">IFERROR(__xludf.DUMMYFUNCTION("""COMPUTED_VALUE"""),"Araguatins")</f>
        <v>Araguatins</v>
      </c>
      <c r="B36" s="29" t="str">
        <f ca="1">IFERROR(__xludf.DUMMYFUNCTION("""COMPUTED_VALUE"""),"Praia Norte")</f>
        <v>Praia Norte</v>
      </c>
      <c r="C36" s="29" t="str">
        <f ca="1">IFERROR(__xludf.DUMMYFUNCTION("""COMPUTED_VALUE"""),"ASS. AP.ESC. ESTADUAL GENESIO GOMES")</f>
        <v>ASS. AP.ESC. ESTADUAL GENESIO GOMES</v>
      </c>
      <c r="D36" s="30" t="str">
        <f ca="1">IFERROR(__xludf.DUMMYFUNCTION("""COMPUTED_VALUE"""),"01192607000183")</f>
        <v>01192607000183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2788.8</v>
      </c>
      <c r="L36" s="31">
        <v>487.2</v>
      </c>
      <c r="M36" s="32" t="str">
        <f ca="1">IFERROR(__xludf.DUMMYFUNCTION("""COMPUTED_VALUE"""),"001")</f>
        <v>001</v>
      </c>
      <c r="N36" s="32" t="str">
        <f ca="1">IFERROR(__xludf.DUMMYFUNCTION("""COMPUTED_VALUE"""),"3975")</f>
        <v>3975</v>
      </c>
      <c r="O36" s="32" t="str">
        <f ca="1">IFERROR(__xludf.DUMMYFUNCTION("""COMPUTED_VALUE"""),"19690")</f>
        <v>19690</v>
      </c>
      <c r="P36" s="33">
        <v>3276</v>
      </c>
    </row>
    <row r="37" spans="1:16" s="8" customFormat="1" ht="21.95" customHeight="1">
      <c r="A37" s="22" t="str">
        <f ca="1">IFERROR(__xludf.DUMMYFUNCTION("""COMPUTED_VALUE"""),"Araguatins")</f>
        <v>Araguatins</v>
      </c>
      <c r="B37" s="22" t="str">
        <f ca="1">IFERROR(__xludf.DUMMYFUNCTION("""COMPUTED_VALUE"""),"Sampaio")</f>
        <v>Sampaio</v>
      </c>
      <c r="C37" s="22" t="str">
        <f ca="1">IFERROR(__xludf.DUMMYFUNCTION("""COMPUTED_VALUE"""),"A. DE AP. DA ESCOLA ESTADUAL SAMPAIO")</f>
        <v>A. DE AP. DA ESCOLA ESTADUAL SAMPAIO</v>
      </c>
      <c r="D37" s="23" t="str">
        <f ca="1">IFERROR(__xludf.DUMMYFUNCTION("""COMPUTED_VALUE"""),"01190179000150")</f>
        <v>01190179000150</v>
      </c>
      <c r="E37" s="27">
        <v>0</v>
      </c>
      <c r="F37" s="27">
        <v>0</v>
      </c>
      <c r="G37" s="27">
        <v>58.8</v>
      </c>
      <c r="H37" s="27">
        <v>3133.2</v>
      </c>
      <c r="I37" s="27">
        <v>0</v>
      </c>
      <c r="J37" s="27">
        <v>0</v>
      </c>
      <c r="K37" s="27">
        <v>1747.2</v>
      </c>
      <c r="L37" s="27">
        <v>0</v>
      </c>
      <c r="M37" s="28" t="str">
        <f ca="1">IFERROR(__xludf.DUMMYFUNCTION("""COMPUTED_VALUE"""),"001")</f>
        <v>001</v>
      </c>
      <c r="N37" s="28" t="str">
        <f ca="1">IFERROR(__xludf.DUMMYFUNCTION("""COMPUTED_VALUE"""),"1305")</f>
        <v>1305</v>
      </c>
      <c r="O37" s="28" t="str">
        <f ca="1">IFERROR(__xludf.DUMMYFUNCTION("""COMPUTED_VALUE"""),"0019178")</f>
        <v>0019178</v>
      </c>
      <c r="P37" s="38">
        <v>4939.2</v>
      </c>
    </row>
    <row r="38" spans="1:16" s="8" customFormat="1" ht="21.95" customHeight="1">
      <c r="A38" s="29" t="str">
        <f ca="1">IFERROR(__xludf.DUMMYFUNCTION("""COMPUTED_VALUE"""),"Araguatins")</f>
        <v>Araguatins</v>
      </c>
      <c r="B38" s="29" t="str">
        <f ca="1">IFERROR(__xludf.DUMMYFUNCTION("""COMPUTED_VALUE"""),"Sao Bento do Tocantins")</f>
        <v>Sao Bento do Tocantins</v>
      </c>
      <c r="C38" s="29" t="str">
        <f ca="1">IFERROR(__xludf.DUMMYFUNCTION("""COMPUTED_VALUE"""),"A.A. COLEGIO EST. IRMAOS FILGUEIRAS")</f>
        <v>A.A. COLEGIO EST. IRMAOS FILGUEIRAS</v>
      </c>
      <c r="D38" s="30" t="str">
        <f ca="1">IFERROR(__xludf.DUMMYFUNCTION("""COMPUTED_VALUE"""),"01068348000183")</f>
        <v>01068348000183</v>
      </c>
      <c r="E38" s="31">
        <v>0</v>
      </c>
      <c r="F38" s="31">
        <v>0</v>
      </c>
      <c r="G38" s="31">
        <v>243.6</v>
      </c>
      <c r="H38" s="31">
        <v>3116.4</v>
      </c>
      <c r="I38" s="31">
        <v>0</v>
      </c>
      <c r="J38" s="31">
        <v>0</v>
      </c>
      <c r="K38" s="31">
        <v>915.6</v>
      </c>
      <c r="L38" s="31">
        <v>504</v>
      </c>
      <c r="M38" s="32" t="str">
        <f ca="1">IFERROR(__xludf.DUMMYFUNCTION("""COMPUTED_VALUE"""),"001")</f>
        <v>001</v>
      </c>
      <c r="N38" s="32" t="str">
        <f ca="1">IFERROR(__xludf.DUMMYFUNCTION("""COMPUTED_VALUE"""),"1305")</f>
        <v>1305</v>
      </c>
      <c r="O38" s="32" t="str">
        <f ca="1">IFERROR(__xludf.DUMMYFUNCTION("""COMPUTED_VALUE"""),"109134")</f>
        <v>109134</v>
      </c>
      <c r="P38" s="33">
        <v>4779.6000000000004</v>
      </c>
    </row>
    <row r="39" spans="1:16" s="8" customFormat="1" ht="21.95" customHeight="1">
      <c r="A39" s="22" t="str">
        <f ca="1">IFERROR(__xludf.DUMMYFUNCTION("""COMPUTED_VALUE"""),"Araguatins")</f>
        <v>Araguatins</v>
      </c>
      <c r="B39" s="22" t="str">
        <f ca="1">IFERROR(__xludf.DUMMYFUNCTION("""COMPUTED_VALUE"""),"Sao Bento do Tocantins")</f>
        <v>Sao Bento do Tocantins</v>
      </c>
      <c r="C39" s="22" t="str">
        <f ca="1">IFERROR(__xludf.DUMMYFUNCTION("""COMPUTED_VALUE"""),"A.A. ESC. EST. ANAIDES BRITO MIRANDA")</f>
        <v>A.A. ESC. EST. ANAIDES BRITO MIRANDA</v>
      </c>
      <c r="D39" s="23" t="str">
        <f ca="1">IFERROR(__xludf.DUMMYFUNCTION("""COMPUTED_VALUE"""),"01181993000108")</f>
        <v>01181993000108</v>
      </c>
      <c r="E39" s="27">
        <v>0</v>
      </c>
      <c r="F39" s="27">
        <v>0</v>
      </c>
      <c r="G39" s="27">
        <v>134.4</v>
      </c>
      <c r="H39" s="27">
        <v>890.4</v>
      </c>
      <c r="I39" s="27">
        <v>0</v>
      </c>
      <c r="J39" s="27">
        <v>0</v>
      </c>
      <c r="K39" s="27">
        <v>294</v>
      </c>
      <c r="L39" s="27">
        <v>0</v>
      </c>
      <c r="M39" s="28" t="str">
        <f ca="1">IFERROR(__xludf.DUMMYFUNCTION("""COMPUTED_VALUE"""),"001")</f>
        <v>001</v>
      </c>
      <c r="N39" s="28" t="str">
        <f ca="1">IFERROR(__xludf.DUMMYFUNCTION("""COMPUTED_VALUE"""),"1305")</f>
        <v>1305</v>
      </c>
      <c r="O39" s="28" t="str">
        <f ca="1">IFERROR(__xludf.DUMMYFUNCTION("""COMPUTED_VALUE"""),"10938x")</f>
        <v>10938x</v>
      </c>
      <c r="P39" s="38">
        <v>1318.8</v>
      </c>
    </row>
    <row r="40" spans="1:16" s="8" customFormat="1" ht="21.95" customHeight="1">
      <c r="A40" s="29" t="str">
        <f ca="1">IFERROR(__xludf.DUMMYFUNCTION("""COMPUTED_VALUE"""),"Araguatins")</f>
        <v>Araguatins</v>
      </c>
      <c r="B40" s="29" t="str">
        <f ca="1">IFERROR(__xludf.DUMMYFUNCTION("""COMPUTED_VALUE"""),"Sao Miguel do Tocantins")</f>
        <v>Sao Miguel do Tocantins</v>
      </c>
      <c r="C40" s="29" t="str">
        <f ca="1">IFERROR(__xludf.DUMMYFUNCTION("""COMPUTED_VALUE"""),"A.A.  DA ESCOLA ESTADUAL BELA VISTA")</f>
        <v>A.A.  DA ESCOLA ESTADUAL BELA VISTA</v>
      </c>
      <c r="D40" s="30" t="str">
        <f ca="1">IFERROR(__xludf.DUMMYFUNCTION("""COMPUTED_VALUE"""),"01230238000176")</f>
        <v>01230238000176</v>
      </c>
      <c r="E40" s="31">
        <v>0</v>
      </c>
      <c r="F40" s="31">
        <v>0</v>
      </c>
      <c r="G40" s="31">
        <v>0</v>
      </c>
      <c r="H40" s="31">
        <v>2259.6</v>
      </c>
      <c r="I40" s="31">
        <v>0</v>
      </c>
      <c r="J40" s="31">
        <v>0</v>
      </c>
      <c r="K40" s="31">
        <v>1646.4</v>
      </c>
      <c r="L40" s="31">
        <v>142.80000000000001</v>
      </c>
      <c r="M40" s="32" t="str">
        <f ca="1">IFERROR(__xludf.DUMMYFUNCTION("""COMPUTED_VALUE"""),"001")</f>
        <v>001</v>
      </c>
      <c r="N40" s="32" t="str">
        <f ca="1">IFERROR(__xludf.DUMMYFUNCTION("""COMPUTED_VALUE"""),"1305")</f>
        <v>1305</v>
      </c>
      <c r="O40" s="32" t="str">
        <f ca="1">IFERROR(__xludf.DUMMYFUNCTION("""COMPUTED_VALUE"""),"0217948")</f>
        <v>0217948</v>
      </c>
      <c r="P40" s="33">
        <v>4048.8</v>
      </c>
    </row>
    <row r="41" spans="1:16" s="8" customFormat="1" ht="21.95" customHeight="1">
      <c r="A41" s="22" t="str">
        <f ca="1">IFERROR(__xludf.DUMMYFUNCTION("""COMPUTED_VALUE"""),"Araguatins")</f>
        <v>Araguatins</v>
      </c>
      <c r="B41" s="22" t="str">
        <f ca="1">IFERROR(__xludf.DUMMYFUNCTION("""COMPUTED_VALUE"""),"Sao Miguel do Tocantins")</f>
        <v>Sao Miguel do Tocantins</v>
      </c>
      <c r="C41" s="22" t="str">
        <f ca="1">IFERROR(__xludf.DUMMYFUNCTION("""COMPUTED_VALUE"""),"A.A.  ESCOLA ESTADUAL SAO MIGUEL")</f>
        <v>A.A.  ESCOLA ESTADUAL SAO MIGUEL</v>
      </c>
      <c r="D41" s="23" t="str">
        <f ca="1">IFERROR(__xludf.DUMMYFUNCTION("""COMPUTED_VALUE"""),"01213523000189")</f>
        <v>01213523000189</v>
      </c>
      <c r="E41" s="27">
        <v>0</v>
      </c>
      <c r="F41" s="27">
        <v>0</v>
      </c>
      <c r="G41" s="27">
        <v>134.4</v>
      </c>
      <c r="H41" s="27">
        <v>2041.2</v>
      </c>
      <c r="I41" s="27">
        <v>0</v>
      </c>
      <c r="J41" s="27">
        <v>0</v>
      </c>
      <c r="K41" s="27">
        <v>1965.6</v>
      </c>
      <c r="L41" s="27">
        <v>0</v>
      </c>
      <c r="M41" s="28" t="str">
        <f ca="1">IFERROR(__xludf.DUMMYFUNCTION("""COMPUTED_VALUE"""),"001")</f>
        <v>001</v>
      </c>
      <c r="N41" s="28" t="str">
        <f ca="1">IFERROR(__xludf.DUMMYFUNCTION("""COMPUTED_VALUE"""),"1305")</f>
        <v>1305</v>
      </c>
      <c r="O41" s="28" t="str">
        <f ca="1">IFERROR(__xludf.DUMMYFUNCTION("""COMPUTED_VALUE"""),"173576")</f>
        <v>173576</v>
      </c>
      <c r="P41" s="38">
        <v>4141.2</v>
      </c>
    </row>
    <row r="42" spans="1:16" s="8" customFormat="1" ht="21.95" customHeight="1">
      <c r="A42" s="29" t="str">
        <f ca="1">IFERROR(__xludf.DUMMYFUNCTION("""COMPUTED_VALUE"""),"Araguatins")</f>
        <v>Araguatins</v>
      </c>
      <c r="B42" s="29" t="str">
        <f ca="1">IFERROR(__xludf.DUMMYFUNCTION("""COMPUTED_VALUE"""),"Sao Sebastiao do Tocantins")</f>
        <v>Sao Sebastiao do Tocantins</v>
      </c>
      <c r="C42" s="29" t="str">
        <f ca="1">IFERROR(__xludf.DUMMYFUNCTION("""COMPUTED_VALUE"""),"A.A.  DO COL. EST.IRIO OLIVEIRA SOUZA")</f>
        <v>A.A.  DO COL. EST.IRIO OLIVEIRA SOUZA</v>
      </c>
      <c r="D42" s="30" t="str">
        <f ca="1">IFERROR(__xludf.DUMMYFUNCTION("""COMPUTED_VALUE"""),"01112477000121")</f>
        <v>01112477000121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1654.8</v>
      </c>
      <c r="L42" s="31">
        <v>0</v>
      </c>
      <c r="M42" s="32" t="str">
        <f ca="1">IFERROR(__xludf.DUMMYFUNCTION("""COMPUTED_VALUE"""),"001")</f>
        <v>001</v>
      </c>
      <c r="N42" s="32" t="str">
        <f ca="1">IFERROR(__xludf.DUMMYFUNCTION("""COMPUTED_VALUE"""),"1305")</f>
        <v>1305</v>
      </c>
      <c r="O42" s="32" t="str">
        <f ca="1">IFERROR(__xludf.DUMMYFUNCTION("""COMPUTED_VALUE"""),"0109282")</f>
        <v>0109282</v>
      </c>
      <c r="P42" s="33">
        <v>1654.8</v>
      </c>
    </row>
    <row r="43" spans="1:16" s="8" customFormat="1" ht="21.95" customHeight="1">
      <c r="A43" s="22" t="str">
        <f ca="1">IFERROR(__xludf.DUMMYFUNCTION("""COMPUTED_VALUE"""),"Araguatins")</f>
        <v>Araguatins</v>
      </c>
      <c r="B43" s="22" t="str">
        <f ca="1">IFERROR(__xludf.DUMMYFUNCTION("""COMPUTED_VALUE"""),"Sao Sebastiao do Tocantins")</f>
        <v>Sao Sebastiao do Tocantins</v>
      </c>
      <c r="C43" s="22" t="str">
        <f ca="1">IFERROR(__xludf.DUMMYFUNCTION("""COMPUTED_VALUE"""),"A.A. E. E. DR.PEDRO LUDOVICO TEIXEIRA")</f>
        <v>A.A. E. E. DR.PEDRO LUDOVICO TEIXEIRA</v>
      </c>
      <c r="D43" s="23" t="str">
        <f ca="1">IFERROR(__xludf.DUMMYFUNCTION("""COMPUTED_VALUE"""),"01186462000108")</f>
        <v>01186462000108</v>
      </c>
      <c r="E43" s="27">
        <v>0</v>
      </c>
      <c r="F43" s="27">
        <v>0</v>
      </c>
      <c r="G43" s="27">
        <v>92.4</v>
      </c>
      <c r="H43" s="27">
        <v>2688</v>
      </c>
      <c r="I43" s="27">
        <v>0</v>
      </c>
      <c r="J43" s="27">
        <v>0</v>
      </c>
      <c r="K43" s="27">
        <v>0</v>
      </c>
      <c r="L43" s="27">
        <v>0</v>
      </c>
      <c r="M43" s="28" t="str">
        <f ca="1">IFERROR(__xludf.DUMMYFUNCTION("""COMPUTED_VALUE"""),"001")</f>
        <v>001</v>
      </c>
      <c r="N43" s="28" t="str">
        <f ca="1">IFERROR(__xludf.DUMMYFUNCTION("""COMPUTED_VALUE"""),"1305")</f>
        <v>1305</v>
      </c>
      <c r="O43" s="28" t="str">
        <f ca="1">IFERROR(__xludf.DUMMYFUNCTION("""COMPUTED_VALUE"""),"109711")</f>
        <v>109711</v>
      </c>
      <c r="P43" s="38">
        <v>2780.4</v>
      </c>
    </row>
    <row r="44" spans="1:16" s="8" customFormat="1" ht="21.95" customHeight="1">
      <c r="A44" s="29" t="str">
        <f ca="1">IFERROR(__xludf.DUMMYFUNCTION("""COMPUTED_VALUE"""),"Araguatins")</f>
        <v>Araguatins</v>
      </c>
      <c r="B44" s="29" t="str">
        <f ca="1">IFERROR(__xludf.DUMMYFUNCTION("""COMPUTED_VALUE"""),"Sitio Novo do Tocantins")</f>
        <v>Sitio Novo do Tocantins</v>
      </c>
      <c r="C44" s="29" t="str">
        <f ca="1">IFERROR(__xludf.DUMMYFUNCTION("""COMPUTED_VALUE"""),"A.A. COL. EST. MARECHAEL RIBAS JUNIOR")</f>
        <v>A.A. COL. EST. MARECHAEL RIBAS JUNIOR</v>
      </c>
      <c r="D44" s="30" t="str">
        <f ca="1">IFERROR(__xludf.DUMMYFUNCTION("""COMPUTED_VALUE"""),"01230241000190")</f>
        <v>01230241000190</v>
      </c>
      <c r="E44" s="31">
        <v>0</v>
      </c>
      <c r="F44" s="31">
        <v>0</v>
      </c>
      <c r="G44" s="31">
        <v>0</v>
      </c>
      <c r="H44" s="31">
        <v>982.8</v>
      </c>
      <c r="I44" s="31">
        <v>0</v>
      </c>
      <c r="J44" s="31">
        <v>0</v>
      </c>
      <c r="K44" s="31">
        <v>2402.4</v>
      </c>
      <c r="L44" s="31">
        <v>201.6</v>
      </c>
      <c r="M44" s="32" t="str">
        <f ca="1">IFERROR(__xludf.DUMMYFUNCTION("""COMPUTED_VALUE"""),"001")</f>
        <v>001</v>
      </c>
      <c r="N44" s="32" t="str">
        <f ca="1">IFERROR(__xludf.DUMMYFUNCTION("""COMPUTED_VALUE"""),"1305")</f>
        <v>1305</v>
      </c>
      <c r="O44" s="32" t="str">
        <f ca="1">IFERROR(__xludf.DUMMYFUNCTION("""COMPUTED_VALUE"""),"217964")</f>
        <v>217964</v>
      </c>
      <c r="P44" s="33">
        <v>3586.7999999999997</v>
      </c>
    </row>
    <row r="45" spans="1:16" s="8" customFormat="1" ht="21.95" customHeight="1">
      <c r="A45" s="22" t="str">
        <f ca="1">IFERROR(__xludf.DUMMYFUNCTION("""COMPUTED_VALUE"""),"Araguatins")</f>
        <v>Araguatins</v>
      </c>
      <c r="B45" s="22" t="str">
        <f ca="1">IFERROR(__xludf.DUMMYFUNCTION("""COMPUTED_VALUE"""),"Sitio Novo do Tocantins")</f>
        <v>Sitio Novo do Tocantins</v>
      </c>
      <c r="C45" s="22" t="str">
        <f ca="1">IFERROR(__xludf.DUMMYFUNCTION("""COMPUTED_VALUE"""),"A.A. E. EST. JOAQUIM TEOTONIO SEGURADO")</f>
        <v>A.A. E. EST. JOAQUIM TEOTONIO SEGURADO</v>
      </c>
      <c r="D45" s="23" t="str">
        <f ca="1">IFERROR(__xludf.DUMMYFUNCTION("""COMPUTED_VALUE"""),"01230240000145")</f>
        <v>01230240000145</v>
      </c>
      <c r="E45" s="27">
        <v>0</v>
      </c>
      <c r="F45" s="27">
        <v>0</v>
      </c>
      <c r="G45" s="27">
        <v>0</v>
      </c>
      <c r="H45" s="27">
        <v>344.4</v>
      </c>
      <c r="I45" s="27">
        <v>0</v>
      </c>
      <c r="J45" s="27">
        <v>0</v>
      </c>
      <c r="K45" s="27">
        <v>604.79999999999995</v>
      </c>
      <c r="L45" s="27">
        <v>0</v>
      </c>
      <c r="M45" s="28" t="str">
        <f ca="1">IFERROR(__xludf.DUMMYFUNCTION("""COMPUTED_VALUE"""),"001")</f>
        <v>001</v>
      </c>
      <c r="N45" s="28" t="str">
        <f ca="1">IFERROR(__xludf.DUMMYFUNCTION("""COMPUTED_VALUE"""),"1305")</f>
        <v>1305</v>
      </c>
      <c r="O45" s="28" t="str">
        <f ca="1">IFERROR(__xludf.DUMMYFUNCTION("""COMPUTED_VALUE"""),"217972")</f>
        <v>217972</v>
      </c>
      <c r="P45" s="38">
        <v>949.19999999999993</v>
      </c>
    </row>
    <row r="46" spans="1:16" s="8" customFormat="1" ht="21.95" customHeight="1">
      <c r="A46" s="29" t="str">
        <f ca="1">IFERROR(__xludf.DUMMYFUNCTION("""COMPUTED_VALUE"""),"Araguatins")</f>
        <v>Araguatins</v>
      </c>
      <c r="B46" s="29" t="str">
        <f ca="1">IFERROR(__xludf.DUMMYFUNCTION("""COMPUTED_VALUE"""),"Sitio Novo do Tocantins")</f>
        <v>Sitio Novo do Tocantins</v>
      </c>
      <c r="C46" s="29" t="str">
        <f ca="1">IFERROR(__xludf.DUMMYFUNCTION("""COMPUTED_VALUE"""),"A.A. ESC. EST. MANOEL ESTEVAO DE SOUZA")</f>
        <v>A.A. ESC. EST. MANOEL ESTEVAO DE SOUZA</v>
      </c>
      <c r="D46" s="30" t="str">
        <f ca="1">IFERROR(__xludf.DUMMYFUNCTION("""COMPUTED_VALUE"""),"01213534000169")</f>
        <v>01213534000169</v>
      </c>
      <c r="E46" s="31">
        <v>0</v>
      </c>
      <c r="F46" s="31">
        <v>0</v>
      </c>
      <c r="G46" s="31">
        <v>109.2</v>
      </c>
      <c r="H46" s="31">
        <v>1327.2</v>
      </c>
      <c r="I46" s="31">
        <v>0</v>
      </c>
      <c r="J46" s="31">
        <v>0</v>
      </c>
      <c r="K46" s="31">
        <v>0</v>
      </c>
      <c r="L46" s="31">
        <v>0</v>
      </c>
      <c r="M46" s="32" t="str">
        <f ca="1">IFERROR(__xludf.DUMMYFUNCTION("""COMPUTED_VALUE"""),"001")</f>
        <v>001</v>
      </c>
      <c r="N46" s="32" t="str">
        <f ca="1">IFERROR(__xludf.DUMMYFUNCTION("""COMPUTED_VALUE"""),"1305")</f>
        <v>1305</v>
      </c>
      <c r="O46" s="32" t="str">
        <f ca="1">IFERROR(__xludf.DUMMYFUNCTION("""COMPUTED_VALUE"""),"181048")</f>
        <v>181048</v>
      </c>
      <c r="P46" s="33">
        <v>1436.4</v>
      </c>
    </row>
    <row r="47" spans="1:16" s="8" customFormat="1" ht="21.95" customHeight="1">
      <c r="A47" s="22" t="str">
        <f ca="1">IFERROR(__xludf.DUMMYFUNCTION("""COMPUTED_VALUE"""),"Araguatins")</f>
        <v>Araguatins</v>
      </c>
      <c r="B47" s="22" t="str">
        <f ca="1">IFERROR(__xludf.DUMMYFUNCTION("""COMPUTED_VALUE"""),"Sitio Novo do Tocantins")</f>
        <v>Sitio Novo do Tocantins</v>
      </c>
      <c r="C47" s="22" t="str">
        <f ca="1">IFERROR(__xludf.DUMMYFUNCTION("""COMPUTED_VALUE"""),"A.A. ESC. EST. RAIMUNDO NONATO LEITE")</f>
        <v>A.A. ESC. EST. RAIMUNDO NONATO LEITE</v>
      </c>
      <c r="D47" s="23" t="str">
        <f ca="1">IFERROR(__xludf.DUMMYFUNCTION("""COMPUTED_VALUE"""),"01230237000121")</f>
        <v>01230237000121</v>
      </c>
      <c r="E47" s="27">
        <v>0</v>
      </c>
      <c r="F47" s="27">
        <v>0</v>
      </c>
      <c r="G47" s="27">
        <v>0</v>
      </c>
      <c r="H47" s="27">
        <v>630</v>
      </c>
      <c r="I47" s="27">
        <v>0</v>
      </c>
      <c r="J47" s="27">
        <v>0</v>
      </c>
      <c r="K47" s="27">
        <v>302.39999999999998</v>
      </c>
      <c r="L47" s="27">
        <v>0</v>
      </c>
      <c r="M47" s="28" t="str">
        <f ca="1">IFERROR(__xludf.DUMMYFUNCTION("""COMPUTED_VALUE"""),"001")</f>
        <v>001</v>
      </c>
      <c r="N47" s="28" t="str">
        <f ca="1">IFERROR(__xludf.DUMMYFUNCTION("""COMPUTED_VALUE"""),"1305")</f>
        <v>1305</v>
      </c>
      <c r="O47" s="28" t="str">
        <f ca="1">IFERROR(__xludf.DUMMYFUNCTION("""COMPUTED_VALUE"""),"217980")</f>
        <v>217980</v>
      </c>
      <c r="P47" s="38">
        <v>932.4</v>
      </c>
    </row>
  </sheetData>
  <autoFilter ref="A8:P47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2019-10-11T19:38:18Z</dcterms:modified>
</cp:coreProperties>
</file>